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'Sheet1'!$A$1:$L$428</definedName>
  </definedNames>
  <calcPr fullCalcOnLoad="1"/>
</workbook>
</file>

<file path=xl/comments1.xml><?xml version="1.0" encoding="utf-8"?>
<comments xmlns="http://schemas.openxmlformats.org/spreadsheetml/2006/main">
  <authors>
    <author>Engr. Hakim</author>
    <author>Hakim</author>
  </authors>
  <commentList>
    <comment ref="K42" authorId="0">
      <text>
        <r>
          <rPr>
            <b/>
            <sz val="8"/>
            <rFont val="Tahoma"/>
            <family val="0"/>
          </rPr>
          <t>Engr. Hakim:</t>
        </r>
        <r>
          <rPr>
            <sz val="8"/>
            <rFont val="Tahoma"/>
            <family val="0"/>
          </rPr>
          <t xml:space="preserve">
angle are in radian so check</t>
        </r>
      </text>
    </comment>
    <comment ref="N215" authorId="0">
      <text>
        <r>
          <rPr>
            <b/>
            <sz val="8"/>
            <rFont val="Tahoma"/>
            <family val="0"/>
          </rPr>
          <t>Engr. Hakim:</t>
        </r>
        <r>
          <rPr>
            <sz val="8"/>
            <rFont val="Tahoma"/>
            <family val="0"/>
          </rPr>
          <t xml:space="preserve">
calculating nc1</t>
        </r>
      </text>
    </comment>
    <comment ref="F112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or 1.15</t>
        </r>
      </text>
    </comment>
    <comment ref="F168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300-75-dia/2</t>
        </r>
      </text>
    </comment>
    <comment ref="E199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1</t>
        </r>
        <r>
          <rPr>
            <sz val="18"/>
            <rFont val="Tahoma"/>
            <family val="2"/>
          </rPr>
          <t>check aci 318 cluase 14.3.3 &amp; 14.3.4</t>
        </r>
      </text>
    </comment>
    <comment ref="E93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pressure Due to wheel load</t>
        </r>
      </text>
    </comment>
    <comment ref="F81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check this load belong to 
which case edge base or above base footing</t>
        </r>
      </text>
    </comment>
  </commentList>
</comments>
</file>

<file path=xl/sharedStrings.xml><?xml version="1.0" encoding="utf-8"?>
<sst xmlns="http://schemas.openxmlformats.org/spreadsheetml/2006/main" count="371" uniqueCount="229">
  <si>
    <t>Approved by</t>
  </si>
  <si>
    <t>checked by :</t>
  </si>
  <si>
    <t>Design by:</t>
  </si>
  <si>
    <t xml:space="preserve">                 Description</t>
  </si>
  <si>
    <t>SAUDI ELECTRICAL COMPANY- EOA</t>
  </si>
  <si>
    <t>Rev.#</t>
  </si>
  <si>
    <t>Date</t>
  </si>
  <si>
    <t>Job No</t>
  </si>
  <si>
    <t>plant Number</t>
  </si>
  <si>
    <t xml:space="preserve">  Calculation of pier Foundation</t>
  </si>
  <si>
    <t>Project titel:</t>
  </si>
  <si>
    <t>Contractor :</t>
  </si>
  <si>
    <t>SSEM</t>
  </si>
  <si>
    <t>Designer Office</t>
  </si>
  <si>
    <t>reference :</t>
  </si>
  <si>
    <t>Notations :</t>
  </si>
  <si>
    <t>deg</t>
  </si>
  <si>
    <t>P=</t>
  </si>
  <si>
    <t>fc=</t>
  </si>
  <si>
    <t>fy=</t>
  </si>
  <si>
    <t>kN/m2</t>
  </si>
  <si>
    <t>kN</t>
  </si>
  <si>
    <t>kN/m3</t>
  </si>
  <si>
    <t>A=</t>
  </si>
  <si>
    <t>e^(3.141592*tan(phi)=</t>
  </si>
  <si>
    <t>tan(45+phi/2)^2=</t>
  </si>
  <si>
    <t>cot(phI)</t>
  </si>
  <si>
    <t>m</t>
  </si>
  <si>
    <t xml:space="preserve">yield strength of steel </t>
  </si>
  <si>
    <t>.20/9/07</t>
  </si>
  <si>
    <t>Introduction</t>
  </si>
  <si>
    <t>The pupose of this Calculation is to design Retaining wall and check the adequecy of this retaining wall</t>
  </si>
  <si>
    <t>against overturning and sliding forces</t>
  </si>
  <si>
    <t xml:space="preserve">P= Wheel load </t>
  </si>
  <si>
    <t xml:space="preserve">q=Surcharge load </t>
  </si>
  <si>
    <t>W1: weight of soil above fa part of footing</t>
  </si>
  <si>
    <t>W2:Weight of Concret pad (footing)</t>
  </si>
  <si>
    <t>W3: Weight of Retaining wall</t>
  </si>
  <si>
    <t>W4: Weight of Soil above ct (part footing)</t>
  </si>
  <si>
    <t>wt:wall thickness</t>
  </si>
  <si>
    <t>Ft:Footing thickness</t>
  </si>
  <si>
    <t xml:space="preserve">fa:Front part footing width </t>
  </si>
  <si>
    <t xml:space="preserve">ct: footing part width </t>
  </si>
  <si>
    <t>A:Footing length</t>
  </si>
  <si>
    <t>B:Footing width 1m strip wall</t>
  </si>
  <si>
    <r>
      <rPr>
        <sz val="12"/>
        <rFont val="Calibri"/>
        <family val="2"/>
      </rPr>
      <t>γ</t>
    </r>
    <r>
      <rPr>
        <sz val="12"/>
        <rFont val="Arial"/>
        <family val="2"/>
      </rPr>
      <t>s=</t>
    </r>
  </si>
  <si>
    <t>Density of soil</t>
  </si>
  <si>
    <r>
      <rPr>
        <sz val="12"/>
        <rFont val="Calibri"/>
        <family val="2"/>
      </rPr>
      <t>Φ</t>
    </r>
    <r>
      <rPr>
        <sz val="12"/>
        <rFont val="Arial"/>
        <family val="2"/>
      </rPr>
      <t xml:space="preserve">= </t>
    </r>
  </si>
  <si>
    <t xml:space="preserve">angle friction of soil </t>
  </si>
  <si>
    <t>ka=</t>
  </si>
  <si>
    <t>active earth pressure coefficient</t>
  </si>
  <si>
    <t>kP=</t>
  </si>
  <si>
    <t>passive earht pressure coefficient</t>
  </si>
  <si>
    <t>Given Data</t>
  </si>
  <si>
    <t>wt=</t>
  </si>
  <si>
    <t>fa=</t>
  </si>
  <si>
    <t>ct=</t>
  </si>
  <si>
    <t>Hs=</t>
  </si>
  <si>
    <t xml:space="preserve">backfilling depth behinde the wall </t>
  </si>
  <si>
    <t>sd=</t>
  </si>
  <si>
    <t>soil passive pressure  depth</t>
  </si>
  <si>
    <t>Hw=</t>
  </si>
  <si>
    <t>concentrat wheel load</t>
  </si>
  <si>
    <t>q=</t>
  </si>
  <si>
    <t xml:space="preserve">surcharge load </t>
  </si>
  <si>
    <t>Concrete Material Properties:</t>
  </si>
  <si>
    <t>Soil &amp;Wall Data</t>
  </si>
  <si>
    <t>kN/cm2</t>
  </si>
  <si>
    <t xml:space="preserve">compressive strength of Concrete </t>
  </si>
  <si>
    <t>Mpa (kN/cm2)</t>
  </si>
  <si>
    <t xml:space="preserve">concrete Density </t>
  </si>
  <si>
    <t>Figure 1</t>
  </si>
  <si>
    <t>Precast Wall Data</t>
  </si>
  <si>
    <t>Hp=</t>
  </si>
  <si>
    <t xml:space="preserve">hight of precast wall </t>
  </si>
  <si>
    <t>THp=</t>
  </si>
  <si>
    <t xml:space="preserve">thickness of precast wall </t>
  </si>
  <si>
    <t>Loads :</t>
  </si>
  <si>
    <t>W1=</t>
  </si>
  <si>
    <t>W2=</t>
  </si>
  <si>
    <t>Ft=</t>
  </si>
  <si>
    <t>weight of footing</t>
  </si>
  <si>
    <t>W3=</t>
  </si>
  <si>
    <t>weight of retaining wall</t>
  </si>
  <si>
    <t>W4=</t>
  </si>
  <si>
    <t>weight of soil at ct width</t>
  </si>
  <si>
    <t>weight of soil  at fa width</t>
  </si>
  <si>
    <t xml:space="preserve">Vertical Loads </t>
  </si>
  <si>
    <t>W5=</t>
  </si>
  <si>
    <t xml:space="preserve">weight of precast wall </t>
  </si>
  <si>
    <t>kN/m`</t>
  </si>
  <si>
    <t>surcharge loads</t>
  </si>
  <si>
    <t>wheel loads</t>
  </si>
  <si>
    <t>Horizontal Loads</t>
  </si>
  <si>
    <t>Pa1=</t>
  </si>
  <si>
    <t>Code:</t>
  </si>
  <si>
    <t>Pa2=</t>
  </si>
  <si>
    <t>PP1=</t>
  </si>
  <si>
    <t>PP2=</t>
  </si>
  <si>
    <t>Ps=</t>
  </si>
  <si>
    <t>Wind Load:AS per UBC97 code</t>
  </si>
  <si>
    <t>Basic wind speed</t>
  </si>
  <si>
    <t>Wis=</t>
  </si>
  <si>
    <t>km/h</t>
  </si>
  <si>
    <t>Pw=</t>
  </si>
  <si>
    <t>Pw=wind stagnation pressure</t>
  </si>
  <si>
    <t>psf</t>
  </si>
  <si>
    <t>kPa</t>
  </si>
  <si>
    <t>hieght above average level of adjoining Ground</t>
  </si>
  <si>
    <t>H=</t>
  </si>
  <si>
    <t>Ppw=Ce*Cq*Iw*Pw</t>
  </si>
  <si>
    <t>Ce=</t>
  </si>
  <si>
    <t>Combined height ,Exposure and gust factor coeff.</t>
  </si>
  <si>
    <t>Cq=</t>
  </si>
  <si>
    <t>Pressure coefficient for retaining wall</t>
  </si>
  <si>
    <t>Iw=</t>
  </si>
  <si>
    <t>Important Factor (occupancy structur)</t>
  </si>
  <si>
    <t>Ppw=</t>
  </si>
  <si>
    <t xml:space="preserve">Force Due to wind </t>
  </si>
  <si>
    <t>108kg/m2</t>
  </si>
  <si>
    <t xml:space="preserve">Table of loads and Moments affecting on the Retaning Wall </t>
  </si>
  <si>
    <t>Loads</t>
  </si>
  <si>
    <t>lever Arm</t>
  </si>
  <si>
    <t xml:space="preserve">Moment </t>
  </si>
  <si>
    <t>kN.m</t>
  </si>
  <si>
    <t>Loads name</t>
  </si>
  <si>
    <t>as per AASHTO page 27</t>
  </si>
  <si>
    <t>PS=</t>
  </si>
  <si>
    <t>Code</t>
  </si>
  <si>
    <t>Codes</t>
  </si>
  <si>
    <t>Pp1=</t>
  </si>
  <si>
    <t>Pp2=</t>
  </si>
  <si>
    <t>SF.ovt=</t>
  </si>
  <si>
    <t>Resistance to Ovt.moment</t>
  </si>
  <si>
    <t xml:space="preserve">Ovt.moment </t>
  </si>
  <si>
    <t>SF.slid=</t>
  </si>
  <si>
    <t>Sfovt=R.Ovt.Mom/Ovt.Mom</t>
  </si>
  <si>
    <t>Design of Retaining Wall:</t>
  </si>
  <si>
    <t>loads name</t>
  </si>
  <si>
    <t>Load</t>
  </si>
  <si>
    <t>moment</t>
  </si>
  <si>
    <t>Vertical loads=</t>
  </si>
  <si>
    <t>Mu=1.3*M</t>
  </si>
  <si>
    <t>mm</t>
  </si>
  <si>
    <r>
      <rPr>
        <sz val="12"/>
        <rFont val="Calibri"/>
        <family val="2"/>
      </rPr>
      <t>Φ</t>
    </r>
    <r>
      <rPr>
        <sz val="12"/>
        <rFont val="Arial"/>
        <family val="2"/>
      </rPr>
      <t>=</t>
    </r>
  </si>
  <si>
    <t>b=</t>
  </si>
  <si>
    <t xml:space="preserve">strip from the boundary wall </t>
  </si>
  <si>
    <t>d`</t>
  </si>
  <si>
    <t>Steel Cover</t>
  </si>
  <si>
    <t>d=</t>
  </si>
  <si>
    <r>
      <t>R=Mu/(</t>
    </r>
    <r>
      <rPr>
        <sz val="12"/>
        <rFont val="Calibri"/>
        <family val="2"/>
      </rPr>
      <t>Φ*b*d^2)</t>
    </r>
  </si>
  <si>
    <t>m=fy/(0.85fc)</t>
  </si>
  <si>
    <t>kg/cm2</t>
  </si>
  <si>
    <t>ρ=(1/m)*((1-(1-2*R*m/fy)^0.5)</t>
  </si>
  <si>
    <r>
      <rPr>
        <sz val="12"/>
        <rFont val="Calibri"/>
        <family val="2"/>
      </rPr>
      <t>ρ</t>
    </r>
    <r>
      <rPr>
        <sz val="12"/>
        <rFont val="Arial"/>
        <family val="2"/>
      </rPr>
      <t>=</t>
    </r>
  </si>
  <si>
    <r>
      <rPr>
        <sz val="12"/>
        <rFont val="Calibri"/>
        <family val="2"/>
      </rPr>
      <t>ρmin</t>
    </r>
    <r>
      <rPr>
        <sz val="12"/>
        <rFont val="Arial"/>
        <family val="2"/>
      </rPr>
      <t>=</t>
    </r>
  </si>
  <si>
    <t>ref.ACI -318-08</t>
  </si>
  <si>
    <t>cls. 14.3.2</t>
  </si>
  <si>
    <t>AS per ACI-318 -02 clause 14.3.2</t>
  </si>
  <si>
    <t>As=</t>
  </si>
  <si>
    <t>mm2</t>
  </si>
  <si>
    <t>Horizontal Bar:</t>
  </si>
  <si>
    <t>as per ACI 318 Cluase 14.3.3</t>
  </si>
  <si>
    <t xml:space="preserve">ref to ACI-318 cluase 14.3.4  when wall thickness more than 25cm tow layer of steel should be used </t>
  </si>
  <si>
    <t xml:space="preserve">1/2 &lt; steel required for each face&gt;2/3 of the Required Steel </t>
  </si>
  <si>
    <r>
      <rPr>
        <sz val="13"/>
        <rFont val="Calibri"/>
        <family val="2"/>
      </rPr>
      <t>ρmin</t>
    </r>
    <r>
      <rPr>
        <sz val="13"/>
        <rFont val="Arial"/>
        <family val="2"/>
      </rPr>
      <t>=</t>
    </r>
  </si>
  <si>
    <r>
      <rPr>
        <sz val="12"/>
        <rFont val="Calibri"/>
        <family val="2"/>
      </rPr>
      <t>Φ</t>
    </r>
    <r>
      <rPr>
        <sz val="12"/>
        <rFont val="Arial"/>
        <family val="2"/>
      </rPr>
      <t>d=12mm</t>
    </r>
  </si>
  <si>
    <t>Av=</t>
  </si>
  <si>
    <t>Nbv=</t>
  </si>
  <si>
    <t xml:space="preserve">number of bar in each layer </t>
  </si>
  <si>
    <t xml:space="preserve">Vertical steel Area Required </t>
  </si>
  <si>
    <t>Vertical Main Bars:</t>
  </si>
  <si>
    <t>Tow layer  for Virtical bars</t>
  </si>
  <si>
    <t>Area of steel required for each  vertical layer</t>
  </si>
  <si>
    <t>Ash=2/3xAv</t>
  </si>
  <si>
    <t>ASh=</t>
  </si>
  <si>
    <t>steel Required For each horizontal layerd</t>
  </si>
  <si>
    <t>Nhb=</t>
  </si>
  <si>
    <t>nomber of bars in each layer</t>
  </si>
  <si>
    <t>Then chose 12mm@250mm</t>
  </si>
  <si>
    <t xml:space="preserve">Design of Footing of The Wall </t>
  </si>
  <si>
    <t>Vertical Load Acting on Footing</t>
  </si>
  <si>
    <t xml:space="preserve">Design of shear on the Wall </t>
  </si>
  <si>
    <t>Shear force=</t>
  </si>
  <si>
    <t>Horizontal Pressure of soil and the surcharge</t>
  </si>
  <si>
    <t>maximum Shear Force at the base of wall</t>
  </si>
  <si>
    <r>
      <rPr>
        <sz val="13"/>
        <rFont val="Calibri"/>
        <family val="2"/>
      </rPr>
      <t>Φ</t>
    </r>
    <r>
      <rPr>
        <sz val="13"/>
        <rFont val="Arial"/>
        <family val="2"/>
      </rPr>
      <t>Vc=(1/6)*</t>
    </r>
    <r>
      <rPr>
        <sz val="13"/>
        <rFont val="Calibri"/>
        <family val="2"/>
      </rPr>
      <t>Φ*(fc^0.5)*b*d)</t>
    </r>
  </si>
  <si>
    <t xml:space="preserve">Then Chose 12mm@250mm </t>
  </si>
  <si>
    <t>Then no need for shear Reinforcement</t>
  </si>
  <si>
    <r>
      <rPr>
        <sz val="13"/>
        <rFont val="Calibri"/>
        <family val="2"/>
      </rPr>
      <t>Φ</t>
    </r>
    <r>
      <rPr>
        <sz val="13"/>
        <rFont val="Arial"/>
        <family val="2"/>
      </rPr>
      <t>Vc=</t>
    </r>
  </si>
  <si>
    <t>Calculate the moment acting at the base of footing</t>
  </si>
  <si>
    <t>L.Name</t>
  </si>
  <si>
    <t>Load kN</t>
  </si>
  <si>
    <t>Moment</t>
  </si>
  <si>
    <t>ΣMb=</t>
  </si>
  <si>
    <t>Total moment acting on base footing.</t>
  </si>
  <si>
    <t xml:space="preserve"> Arm lever</t>
  </si>
  <si>
    <t>Lateral pressure due to  surcharge Load</t>
  </si>
  <si>
    <t>x=</t>
  </si>
  <si>
    <t>m=x/h</t>
  </si>
  <si>
    <t>n=Z/H</t>
  </si>
  <si>
    <t xml:space="preserve">m&gt;0.4 </t>
  </si>
  <si>
    <t>m&lt;0.4</t>
  </si>
  <si>
    <t>n=</t>
  </si>
  <si>
    <t>m=</t>
  </si>
  <si>
    <r>
      <rPr>
        <sz val="10"/>
        <rFont val="Calibri"/>
        <family val="2"/>
      </rPr>
      <t>δ</t>
    </r>
    <r>
      <rPr>
        <sz val="10"/>
        <rFont val="Arial"/>
        <family val="2"/>
      </rPr>
      <t>=</t>
    </r>
  </si>
  <si>
    <t>P</t>
  </si>
  <si>
    <t>ft</t>
  </si>
  <si>
    <t>kips</t>
  </si>
  <si>
    <r>
      <rPr>
        <sz val="10"/>
        <rFont val="Calibri"/>
        <family val="2"/>
      </rPr>
      <t>average δ</t>
    </r>
    <r>
      <rPr>
        <sz val="10"/>
        <rFont val="Arial"/>
        <family val="2"/>
      </rPr>
      <t>=</t>
    </r>
  </si>
  <si>
    <t>kip/ft2</t>
  </si>
  <si>
    <t xml:space="preserve">P= Nearest Wheel load </t>
  </si>
  <si>
    <t>Or δd=</t>
  </si>
  <si>
    <t>Psw=</t>
  </si>
  <si>
    <t>Total Moment acting on the wall</t>
  </si>
  <si>
    <t xml:space="preserve">from the moment and vertical load steel can obtain by </t>
  </si>
  <si>
    <t>PCACOL</t>
  </si>
  <si>
    <t>B=</t>
  </si>
  <si>
    <t>length of footing</t>
  </si>
  <si>
    <t>width of footing</t>
  </si>
  <si>
    <t>BC=</t>
  </si>
  <si>
    <t>net bearing capacity</t>
  </si>
  <si>
    <t>Ix=</t>
  </si>
  <si>
    <t>Iy=</t>
  </si>
  <si>
    <t>m4</t>
  </si>
  <si>
    <r>
      <rPr>
        <sz val="10"/>
        <rFont val="Calibri"/>
        <family val="2"/>
      </rPr>
      <t>σ1</t>
    </r>
    <r>
      <rPr>
        <sz val="10"/>
        <rFont val="Arial"/>
        <family val="2"/>
      </rPr>
      <t>=P/A+( Mx/Ix)y +(My/Iy)x</t>
    </r>
  </si>
  <si>
    <r>
      <rPr>
        <sz val="10"/>
        <rFont val="Calibri"/>
        <family val="2"/>
      </rPr>
      <t>σ2</t>
    </r>
    <r>
      <rPr>
        <sz val="10"/>
        <rFont val="Arial"/>
        <family val="2"/>
      </rPr>
      <t>=P/A-( Mx/Ix)y -(My/Iy)x</t>
    </r>
  </si>
  <si>
    <r>
      <rPr>
        <sz val="10"/>
        <rFont val="Calibri"/>
        <family val="2"/>
      </rPr>
      <t>σ3</t>
    </r>
    <r>
      <rPr>
        <sz val="10"/>
        <rFont val="Arial"/>
        <family val="2"/>
      </rPr>
      <t>=P/A+( Mx/Ix)y -(My/Iy)x</t>
    </r>
  </si>
  <si>
    <r>
      <rPr>
        <sz val="10"/>
        <rFont val="Calibri"/>
        <family val="2"/>
      </rPr>
      <t>σ4</t>
    </r>
    <r>
      <rPr>
        <sz val="10"/>
        <rFont val="Arial"/>
        <family val="2"/>
      </rPr>
      <t>=P/A-( Mx/Ix)y +(My/Iy)x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</si>
</sst>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u val="single"/>
      <sz val="12"/>
      <name val="Arial"/>
      <family val="0"/>
    </font>
    <font>
      <sz val="13"/>
      <name val="Arial"/>
      <family val="2"/>
    </font>
    <font>
      <sz val="12"/>
      <name val="Calibri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0"/>
      <name val="Calibri"/>
      <family val="2"/>
    </font>
    <font>
      <sz val="18"/>
      <name val="Tahoma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10" xfId="0" applyBorder="1" applyAlignment="1">
      <alignment horizontal="right" textRotation="90"/>
    </xf>
    <xf numFmtId="0" fontId="0" fillId="0" borderId="16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7" xfId="0" applyBorder="1" applyAlignment="1">
      <alignment horizontal="center" textRotation="90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16" xfId="0" applyBorder="1" applyAlignment="1">
      <alignment horizontal="right" textRotation="90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37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45"/>
          <c:w val="0.952"/>
          <c:h val="0.85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Sheet1!$E$338:$E$348</c:f>
              <c:numCache/>
            </c:numRef>
          </c:xVal>
          <c:yVal>
            <c:numRef>
              <c:f>Sheet1!$G$338:$G$348</c:f>
              <c:numCache/>
            </c:numRef>
          </c:yVal>
          <c:smooth val="1"/>
        </c:ser>
        <c:axId val="5503383"/>
        <c:axId val="49530448"/>
      </c:scatterChart>
      <c:valAx>
        <c:axId val="55033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n=z/H</a:t>
                </a:r>
              </a:p>
            </c:rich>
          </c:tx>
          <c:layout>
            <c:manualLayout>
              <c:xMode val="factor"/>
              <c:yMode val="factor"/>
              <c:x val="-0.03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448"/>
        <c:crosses val="autoZero"/>
        <c:crossBetween val="midCat"/>
        <c:dispUnits/>
      </c:valAx>
      <c:valAx>
        <c:axId val="4953044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3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81</xdr:row>
      <xdr:rowOff>104775</xdr:rowOff>
    </xdr:from>
    <xdr:to>
      <xdr:col>11</xdr:col>
      <xdr:colOff>523875</xdr:colOff>
      <xdr:row>102</xdr:row>
      <xdr:rowOff>133350</xdr:rowOff>
    </xdr:to>
    <xdr:pic>
      <xdr:nvPicPr>
        <xdr:cNvPr id="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8307050"/>
          <a:ext cx="3171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2066</xdr:row>
      <xdr:rowOff>66675</xdr:rowOff>
    </xdr:from>
    <xdr:to>
      <xdr:col>7</xdr:col>
      <xdr:colOff>590550</xdr:colOff>
      <xdr:row>2067</xdr:row>
      <xdr:rowOff>104775</xdr:rowOff>
    </xdr:to>
    <xdr:sp>
      <xdr:nvSpPr>
        <xdr:cNvPr id="2" name="Line 54"/>
        <xdr:cNvSpPr>
          <a:spLocks/>
        </xdr:cNvSpPr>
      </xdr:nvSpPr>
      <xdr:spPr>
        <a:xfrm>
          <a:off x="4857750" y="334013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2066</xdr:row>
      <xdr:rowOff>66675</xdr:rowOff>
    </xdr:from>
    <xdr:to>
      <xdr:col>7</xdr:col>
      <xdr:colOff>590550</xdr:colOff>
      <xdr:row>2067</xdr:row>
      <xdr:rowOff>104775</xdr:rowOff>
    </xdr:to>
    <xdr:sp>
      <xdr:nvSpPr>
        <xdr:cNvPr id="3" name="Line 55"/>
        <xdr:cNvSpPr>
          <a:spLocks/>
        </xdr:cNvSpPr>
      </xdr:nvSpPr>
      <xdr:spPr>
        <a:xfrm>
          <a:off x="4857750" y="334013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152400</xdr:colOff>
      <xdr:row>6</xdr:row>
      <xdr:rowOff>38100</xdr:rowOff>
    </xdr:from>
    <xdr:to>
      <xdr:col>11</xdr:col>
      <xdr:colOff>657225</xdr:colOff>
      <xdr:row>23</xdr:row>
      <xdr:rowOff>133350</xdr:rowOff>
    </xdr:to>
    <xdr:pic>
      <xdr:nvPicPr>
        <xdr:cNvPr id="4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371725"/>
          <a:ext cx="29718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1019175</xdr:colOff>
      <xdr:row>309</xdr:row>
      <xdr:rowOff>66675</xdr:rowOff>
    </xdr:from>
    <xdr:to>
      <xdr:col>11</xdr:col>
      <xdr:colOff>533400</xdr:colOff>
      <xdr:row>326</xdr:row>
      <xdr:rowOff>123825</xdr:rowOff>
    </xdr:to>
    <xdr:pic>
      <xdr:nvPicPr>
        <xdr:cNvPr id="5" name="Picture 4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47253525"/>
          <a:ext cx="30289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327</xdr:row>
      <xdr:rowOff>142875</xdr:rowOff>
    </xdr:from>
    <xdr:to>
      <xdr:col>11</xdr:col>
      <xdr:colOff>752475</xdr:colOff>
      <xdr:row>344</xdr:row>
      <xdr:rowOff>133350</xdr:rowOff>
    </xdr:to>
    <xdr:graphicFrame>
      <xdr:nvGraphicFramePr>
        <xdr:cNvPr id="6" name="مخطط 8"/>
        <xdr:cNvGraphicFramePr/>
      </xdr:nvGraphicFramePr>
      <xdr:xfrm>
        <a:off x="4371975" y="50977800"/>
        <a:ext cx="41624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tabSelected="1" view="pageBreakPreview" zoomScale="85" zoomScaleSheetLayoutView="85" zoomScalePageLayoutView="0" workbookViewId="0" topLeftCell="A1">
      <selection activeCell="A1" sqref="A1:A2"/>
    </sheetView>
  </sheetViews>
  <sheetFormatPr defaultColWidth="9.140625" defaultRowHeight="12.75"/>
  <cols>
    <col min="1" max="1" width="6.00390625" style="2" customWidth="1"/>
    <col min="2" max="2" width="5.28125" style="2" customWidth="1"/>
    <col min="3" max="3" width="6.00390625" style="2" customWidth="1"/>
    <col min="4" max="4" width="8.57421875" style="2" customWidth="1"/>
    <col min="5" max="5" width="13.28125" style="2" customWidth="1"/>
    <col min="6" max="6" width="13.00390625" style="2" customWidth="1"/>
    <col min="7" max="7" width="11.8515625" style="2" customWidth="1"/>
    <col min="8" max="8" width="15.7109375" style="2" customWidth="1"/>
    <col min="9" max="9" width="11.28125" style="2" customWidth="1"/>
    <col min="10" max="10" width="19.28125" style="2" customWidth="1"/>
    <col min="11" max="11" width="6.421875" style="2" customWidth="1"/>
    <col min="12" max="12" width="11.28125" style="2" customWidth="1"/>
    <col min="13" max="16384" width="9.140625" style="2" customWidth="1"/>
  </cols>
  <sheetData>
    <row r="1" spans="1:12" ht="42" customHeight="1">
      <c r="A1" s="104" t="s">
        <v>0</v>
      </c>
      <c r="B1" s="119"/>
      <c r="C1" s="119"/>
      <c r="D1" s="129" t="s">
        <v>4</v>
      </c>
      <c r="E1" s="130"/>
      <c r="F1" s="130"/>
      <c r="G1" s="130"/>
      <c r="H1" s="130"/>
      <c r="I1" s="130"/>
      <c r="J1" s="130"/>
      <c r="K1" s="130"/>
      <c r="L1" s="131"/>
    </row>
    <row r="2" spans="1:12" ht="27" customHeight="1">
      <c r="A2" s="90"/>
      <c r="B2" s="89"/>
      <c r="C2" s="89"/>
      <c r="L2" s="14"/>
    </row>
    <row r="3" spans="1:12" ht="29.25" customHeight="1">
      <c r="A3" s="90" t="s">
        <v>1</v>
      </c>
      <c r="B3" s="89"/>
      <c r="C3" s="89"/>
      <c r="E3" s="110" t="s">
        <v>30</v>
      </c>
      <c r="F3" s="110"/>
      <c r="G3" s="110"/>
      <c r="H3" s="110"/>
      <c r="I3" s="110"/>
      <c r="J3" s="110"/>
      <c r="K3" s="110"/>
      <c r="L3" s="14"/>
    </row>
    <row r="4" spans="1:12" ht="30" customHeight="1">
      <c r="A4" s="90"/>
      <c r="B4" s="89"/>
      <c r="C4" s="89"/>
      <c r="D4" s="114" t="s">
        <v>31</v>
      </c>
      <c r="E4" s="115"/>
      <c r="F4" s="115"/>
      <c r="G4" s="115"/>
      <c r="H4" s="115"/>
      <c r="I4" s="115"/>
      <c r="J4" s="115"/>
      <c r="K4" s="115"/>
      <c r="L4" s="116"/>
    </row>
    <row r="5" spans="1:12" ht="27" customHeight="1">
      <c r="A5" s="90" t="s">
        <v>2</v>
      </c>
      <c r="B5" s="89"/>
      <c r="C5" s="89"/>
      <c r="D5" s="114" t="s">
        <v>32</v>
      </c>
      <c r="E5" s="115"/>
      <c r="F5" s="115"/>
      <c r="G5" s="115"/>
      <c r="H5" s="115"/>
      <c r="I5" s="115"/>
      <c r="J5" s="115"/>
      <c r="K5" s="115"/>
      <c r="L5" s="116"/>
    </row>
    <row r="6" spans="1:12" ht="28.5" customHeight="1">
      <c r="A6" s="90"/>
      <c r="B6" s="89"/>
      <c r="C6" s="89"/>
      <c r="D6" s="117"/>
      <c r="E6" s="115"/>
      <c r="F6" s="115"/>
      <c r="G6" s="115"/>
      <c r="H6" s="115"/>
      <c r="I6" s="115"/>
      <c r="J6" s="115"/>
      <c r="K6" s="115"/>
      <c r="L6" s="116"/>
    </row>
    <row r="7" spans="1:12" ht="12.75" customHeight="1">
      <c r="A7" s="118" t="s">
        <v>3</v>
      </c>
      <c r="B7" s="91" t="s">
        <v>9</v>
      </c>
      <c r="C7" s="91"/>
      <c r="D7" s="28"/>
      <c r="E7" s="28"/>
      <c r="F7" s="28"/>
      <c r="G7" s="28"/>
      <c r="H7" s="28"/>
      <c r="I7" s="28"/>
      <c r="J7" s="28"/>
      <c r="K7" s="28"/>
      <c r="L7" s="29"/>
    </row>
    <row r="8" spans="1:12" ht="15.75">
      <c r="A8" s="118"/>
      <c r="B8" s="91"/>
      <c r="C8" s="91"/>
      <c r="D8" s="28"/>
      <c r="E8" s="33" t="s">
        <v>15</v>
      </c>
      <c r="F8" s="28"/>
      <c r="G8" s="28"/>
      <c r="H8" s="28"/>
      <c r="I8" s="28"/>
      <c r="J8" s="28"/>
      <c r="K8" s="28"/>
      <c r="L8" s="29"/>
    </row>
    <row r="9" spans="1:12" ht="15">
      <c r="A9" s="118"/>
      <c r="B9" s="91"/>
      <c r="C9" s="91"/>
      <c r="D9" s="28"/>
      <c r="E9" s="28"/>
      <c r="F9" s="34" t="s">
        <v>33</v>
      </c>
      <c r="G9" s="28"/>
      <c r="H9" s="28"/>
      <c r="I9" s="28"/>
      <c r="J9" s="28"/>
      <c r="K9" s="28"/>
      <c r="L9" s="29"/>
    </row>
    <row r="10" spans="1:12" ht="15">
      <c r="A10" s="118"/>
      <c r="B10" s="91"/>
      <c r="C10" s="91"/>
      <c r="D10" s="30"/>
      <c r="E10" s="28"/>
      <c r="G10" s="28"/>
      <c r="H10" s="28"/>
      <c r="I10" s="28"/>
      <c r="J10" s="28"/>
      <c r="K10" s="28"/>
      <c r="L10" s="29"/>
    </row>
    <row r="11" spans="1:12" ht="15">
      <c r="A11" s="118"/>
      <c r="B11" s="91"/>
      <c r="C11" s="91"/>
      <c r="D11" s="28"/>
      <c r="E11" s="28"/>
      <c r="F11" s="34" t="s">
        <v>34</v>
      </c>
      <c r="G11" s="28"/>
      <c r="H11" s="28"/>
      <c r="I11" s="28"/>
      <c r="J11" s="28"/>
      <c r="K11" s="28"/>
      <c r="L11" s="29"/>
    </row>
    <row r="12" spans="1:12" ht="15">
      <c r="A12" s="118"/>
      <c r="B12" s="91"/>
      <c r="C12" s="91"/>
      <c r="D12" s="31"/>
      <c r="E12" s="28"/>
      <c r="F12" s="28"/>
      <c r="G12" s="28"/>
      <c r="H12" s="28"/>
      <c r="I12" s="28"/>
      <c r="J12" s="28"/>
      <c r="K12" s="28"/>
      <c r="L12" s="29"/>
    </row>
    <row r="13" spans="1:12" ht="15">
      <c r="A13" s="118"/>
      <c r="B13" s="91"/>
      <c r="C13" s="91"/>
      <c r="D13" s="31"/>
      <c r="E13" s="28"/>
      <c r="F13" s="34" t="s">
        <v>35</v>
      </c>
      <c r="G13" s="28"/>
      <c r="H13" s="28"/>
      <c r="I13" s="28"/>
      <c r="J13" s="28"/>
      <c r="K13" s="28"/>
      <c r="L13" s="29"/>
    </row>
    <row r="14" spans="1:12" ht="15">
      <c r="A14" s="118"/>
      <c r="B14" s="91"/>
      <c r="C14" s="91"/>
      <c r="D14" s="31"/>
      <c r="E14" s="28"/>
      <c r="F14" s="28"/>
      <c r="G14" s="28"/>
      <c r="H14" s="28"/>
      <c r="I14" s="28"/>
      <c r="J14" s="28"/>
      <c r="K14" s="28"/>
      <c r="L14" s="29"/>
    </row>
    <row r="15" spans="1:12" ht="15">
      <c r="A15" s="118"/>
      <c r="B15" s="91"/>
      <c r="C15" s="91"/>
      <c r="D15" s="31"/>
      <c r="E15" s="28"/>
      <c r="F15" s="34" t="s">
        <v>36</v>
      </c>
      <c r="G15" s="28"/>
      <c r="H15" s="28"/>
      <c r="I15" s="28"/>
      <c r="J15" s="28"/>
      <c r="K15" s="28"/>
      <c r="L15" s="29"/>
    </row>
    <row r="16" spans="1:12" ht="15">
      <c r="A16" s="118"/>
      <c r="B16" s="91"/>
      <c r="C16" s="91"/>
      <c r="D16" s="31"/>
      <c r="E16" s="28"/>
      <c r="F16" s="28"/>
      <c r="G16" s="28"/>
      <c r="H16" s="28"/>
      <c r="I16" s="28"/>
      <c r="J16" s="28"/>
      <c r="K16" s="28"/>
      <c r="L16" s="29"/>
    </row>
    <row r="17" spans="1:12" ht="15">
      <c r="A17" s="118"/>
      <c r="B17" s="91"/>
      <c r="C17" s="91"/>
      <c r="D17" s="31"/>
      <c r="E17" s="28"/>
      <c r="F17" s="34" t="s">
        <v>37</v>
      </c>
      <c r="G17" s="28"/>
      <c r="H17" s="28"/>
      <c r="I17" s="28"/>
      <c r="J17" s="28"/>
      <c r="K17" s="28"/>
      <c r="L17" s="29"/>
    </row>
    <row r="18" spans="1:12" ht="15">
      <c r="A18" s="118"/>
      <c r="B18" s="91"/>
      <c r="C18" s="91"/>
      <c r="D18" s="31"/>
      <c r="E18" s="28"/>
      <c r="F18" s="28"/>
      <c r="G18" s="28"/>
      <c r="H18" s="28"/>
      <c r="I18" s="28"/>
      <c r="J18" s="28"/>
      <c r="K18" s="28"/>
      <c r="L18" s="29"/>
    </row>
    <row r="19" spans="1:12" ht="18" customHeight="1">
      <c r="A19" s="15" t="s">
        <v>5</v>
      </c>
      <c r="B19" s="89" t="s">
        <v>6</v>
      </c>
      <c r="C19" s="89"/>
      <c r="D19" s="31"/>
      <c r="E19" s="28"/>
      <c r="F19" s="34" t="s">
        <v>38</v>
      </c>
      <c r="G19" s="28"/>
      <c r="H19" s="28"/>
      <c r="I19" s="28"/>
      <c r="J19" s="28"/>
      <c r="K19" s="28"/>
      <c r="L19" s="29"/>
    </row>
    <row r="20" spans="1:12" ht="15">
      <c r="A20" s="21">
        <v>1</v>
      </c>
      <c r="B20" s="113" t="s">
        <v>29</v>
      </c>
      <c r="C20" s="113"/>
      <c r="D20" s="28"/>
      <c r="E20" s="28"/>
      <c r="F20" s="28"/>
      <c r="G20" s="28"/>
      <c r="H20" s="28"/>
      <c r="I20" s="28"/>
      <c r="J20" s="28"/>
      <c r="K20" s="28"/>
      <c r="L20" s="29"/>
    </row>
    <row r="21" spans="1:12" ht="15.75">
      <c r="A21" s="21"/>
      <c r="B21" s="113"/>
      <c r="C21" s="113"/>
      <c r="D21" s="32"/>
      <c r="E21" s="28"/>
      <c r="F21" s="34" t="s">
        <v>39</v>
      </c>
      <c r="G21" s="28"/>
      <c r="H21" s="28"/>
      <c r="I21" s="28"/>
      <c r="J21" s="28"/>
      <c r="K21" s="28"/>
      <c r="L21" s="29"/>
    </row>
    <row r="22" spans="1:12" ht="15">
      <c r="A22" s="21"/>
      <c r="B22" s="113"/>
      <c r="C22" s="113"/>
      <c r="D22" s="28"/>
      <c r="E22" s="28"/>
      <c r="F22" s="28"/>
      <c r="G22" s="28"/>
      <c r="H22" s="28"/>
      <c r="I22" s="28"/>
      <c r="J22" s="28"/>
      <c r="K22" s="28"/>
      <c r="L22" s="29"/>
    </row>
    <row r="23" spans="1:12" ht="15">
      <c r="A23" s="21"/>
      <c r="B23" s="113"/>
      <c r="C23" s="113"/>
      <c r="D23" s="31"/>
      <c r="E23" s="28"/>
      <c r="F23" s="34" t="s">
        <v>40</v>
      </c>
      <c r="G23" s="28"/>
      <c r="H23" s="28"/>
      <c r="I23" s="28"/>
      <c r="J23" s="28"/>
      <c r="K23" s="28"/>
      <c r="L23" s="29"/>
    </row>
    <row r="24" spans="1:12" ht="15">
      <c r="A24" s="21"/>
      <c r="B24" s="113"/>
      <c r="C24" s="113"/>
      <c r="D24" s="31"/>
      <c r="E24" s="28"/>
      <c r="F24" s="28"/>
      <c r="G24" s="28"/>
      <c r="H24" s="28"/>
      <c r="I24" s="28"/>
      <c r="J24" s="28"/>
      <c r="K24" s="28"/>
      <c r="L24" s="29"/>
    </row>
    <row r="25" spans="1:12" ht="16.5">
      <c r="A25" s="120" t="s">
        <v>14</v>
      </c>
      <c r="B25" s="121"/>
      <c r="C25" s="122"/>
      <c r="F25" s="38" t="s">
        <v>41</v>
      </c>
      <c r="J25" s="40" t="s">
        <v>71</v>
      </c>
      <c r="L25" s="14"/>
    </row>
    <row r="26" spans="1:12" ht="15">
      <c r="A26" s="123"/>
      <c r="B26" s="124"/>
      <c r="C26" s="125"/>
      <c r="E26" s="34"/>
      <c r="F26" s="34"/>
      <c r="G26" s="34"/>
      <c r="H26" s="34"/>
      <c r="I26" s="34"/>
      <c r="J26" s="34"/>
      <c r="L26" s="14"/>
    </row>
    <row r="27" spans="1:12" ht="15">
      <c r="A27" s="123"/>
      <c r="B27" s="124"/>
      <c r="C27" s="125"/>
      <c r="D27" s="34"/>
      <c r="E27" s="34"/>
      <c r="F27" s="34" t="s">
        <v>42</v>
      </c>
      <c r="G27" s="34"/>
      <c r="H27" s="34"/>
      <c r="I27" s="34"/>
      <c r="J27" s="34"/>
      <c r="L27" s="14"/>
    </row>
    <row r="28" spans="1:12" ht="15">
      <c r="A28" s="123"/>
      <c r="B28" s="124"/>
      <c r="C28" s="125"/>
      <c r="D28" s="35"/>
      <c r="E28" s="34"/>
      <c r="F28" s="34"/>
      <c r="G28" s="34"/>
      <c r="H28" s="34"/>
      <c r="I28" s="34"/>
      <c r="J28" s="34"/>
      <c r="L28" s="14"/>
    </row>
    <row r="29" spans="1:12" ht="15">
      <c r="A29" s="123"/>
      <c r="B29" s="124"/>
      <c r="C29" s="125"/>
      <c r="D29" s="34"/>
      <c r="E29" s="34"/>
      <c r="F29" s="34" t="s">
        <v>43</v>
      </c>
      <c r="G29" s="34"/>
      <c r="H29" s="34"/>
      <c r="I29" s="34"/>
      <c r="J29" s="34"/>
      <c r="L29" s="14"/>
    </row>
    <row r="30" spans="1:12" ht="15">
      <c r="A30" s="123"/>
      <c r="B30" s="124"/>
      <c r="C30" s="125"/>
      <c r="D30" s="34"/>
      <c r="E30" s="34"/>
      <c r="F30" s="34"/>
      <c r="G30" s="34"/>
      <c r="H30" s="34"/>
      <c r="I30" s="34"/>
      <c r="J30" s="34"/>
      <c r="L30" s="14"/>
    </row>
    <row r="31" spans="1:12" ht="15">
      <c r="A31" s="123"/>
      <c r="B31" s="124"/>
      <c r="C31" s="125"/>
      <c r="D31" s="34"/>
      <c r="E31" s="34"/>
      <c r="F31" s="34" t="s">
        <v>44</v>
      </c>
      <c r="G31" s="34"/>
      <c r="H31" s="34"/>
      <c r="I31" s="34"/>
      <c r="J31" s="34"/>
      <c r="L31" s="14"/>
    </row>
    <row r="32" spans="1:12" ht="15.75">
      <c r="A32" s="123"/>
      <c r="B32" s="124"/>
      <c r="C32" s="125"/>
      <c r="D32" s="34"/>
      <c r="E32" s="39" t="s">
        <v>53</v>
      </c>
      <c r="F32" s="34"/>
      <c r="G32" s="34"/>
      <c r="H32" s="34"/>
      <c r="I32" s="34"/>
      <c r="J32" s="34"/>
      <c r="L32" s="14"/>
    </row>
    <row r="33" spans="1:12" ht="15.75">
      <c r="A33" s="123"/>
      <c r="B33" s="124"/>
      <c r="C33" s="125"/>
      <c r="D33" s="34"/>
      <c r="E33" s="6" t="s">
        <v>66</v>
      </c>
      <c r="L33" s="14"/>
    </row>
    <row r="34" spans="1:12" ht="15.75">
      <c r="A34" s="123"/>
      <c r="B34" s="124"/>
      <c r="C34" s="125"/>
      <c r="D34" s="34"/>
      <c r="E34" s="34"/>
      <c r="F34" s="34" t="s">
        <v>45</v>
      </c>
      <c r="G34" s="82">
        <v>19</v>
      </c>
      <c r="H34" s="34" t="s">
        <v>46</v>
      </c>
      <c r="I34" s="34"/>
      <c r="J34" s="34" t="s">
        <v>22</v>
      </c>
      <c r="L34" s="14"/>
    </row>
    <row r="35" spans="1:12" ht="15.75">
      <c r="A35" s="123"/>
      <c r="B35" s="124"/>
      <c r="C35" s="125"/>
      <c r="D35" s="34"/>
      <c r="E35" s="34"/>
      <c r="F35" s="34" t="s">
        <v>47</v>
      </c>
      <c r="G35" s="82">
        <v>25</v>
      </c>
      <c r="H35" s="34" t="s">
        <v>48</v>
      </c>
      <c r="I35" s="34"/>
      <c r="J35" s="34" t="s">
        <v>16</v>
      </c>
      <c r="L35" s="14"/>
    </row>
    <row r="36" spans="1:12" ht="15">
      <c r="A36" s="123"/>
      <c r="B36" s="124"/>
      <c r="C36" s="125"/>
      <c r="D36" s="34"/>
      <c r="E36" s="34"/>
      <c r="F36" s="34" t="s">
        <v>49</v>
      </c>
      <c r="G36" s="58">
        <f>TAN(G35*PI()/180)</f>
        <v>0.4663076581549986</v>
      </c>
      <c r="H36" s="34" t="s">
        <v>50</v>
      </c>
      <c r="I36" s="34"/>
      <c r="J36" s="34"/>
      <c r="L36" s="14"/>
    </row>
    <row r="37" spans="1:12" ht="15">
      <c r="A37" s="123"/>
      <c r="B37" s="124"/>
      <c r="C37" s="125"/>
      <c r="D37" s="34"/>
      <c r="E37" s="34"/>
      <c r="F37" s="34" t="s">
        <v>51</v>
      </c>
      <c r="G37" s="58">
        <f>(1+SIN(G35*PI()/180))/(1-(SIN(G35*PI()/180)))</f>
        <v>2.463912811010669</v>
      </c>
      <c r="H37" s="34" t="s">
        <v>52</v>
      </c>
      <c r="I37" s="34"/>
      <c r="J37" s="34"/>
      <c r="L37" s="14"/>
    </row>
    <row r="38" spans="1:12" ht="15">
      <c r="A38" s="123"/>
      <c r="B38" s="124"/>
      <c r="C38" s="125"/>
      <c r="D38" s="34"/>
      <c r="E38" s="34"/>
      <c r="F38" s="34" t="s">
        <v>23</v>
      </c>
      <c r="G38" s="59">
        <v>2.5</v>
      </c>
      <c r="H38" s="34" t="s">
        <v>27</v>
      </c>
      <c r="I38" s="34"/>
      <c r="J38" s="34"/>
      <c r="L38" s="14"/>
    </row>
    <row r="39" spans="1:12" ht="15.75">
      <c r="A39" s="123"/>
      <c r="B39" s="124"/>
      <c r="C39" s="125"/>
      <c r="D39" s="6"/>
      <c r="E39" s="34"/>
      <c r="F39" s="34" t="s">
        <v>54</v>
      </c>
      <c r="G39" s="83">
        <v>0.3</v>
      </c>
      <c r="H39" s="34" t="s">
        <v>27</v>
      </c>
      <c r="I39" s="34"/>
      <c r="J39" s="34"/>
      <c r="L39" s="14"/>
    </row>
    <row r="40" spans="1:12" ht="15">
      <c r="A40" s="123"/>
      <c r="B40" s="124"/>
      <c r="C40" s="125"/>
      <c r="D40" s="34"/>
      <c r="E40" s="34"/>
      <c r="F40" s="34" t="s">
        <v>55</v>
      </c>
      <c r="G40" s="83">
        <v>1.5</v>
      </c>
      <c r="H40" s="34" t="s">
        <v>27</v>
      </c>
      <c r="I40" s="34"/>
      <c r="J40" s="34"/>
      <c r="L40" s="14"/>
    </row>
    <row r="41" spans="1:12" ht="15">
      <c r="A41" s="123"/>
      <c r="B41" s="124"/>
      <c r="C41" s="125"/>
      <c r="D41" s="34"/>
      <c r="E41" s="34"/>
      <c r="F41" s="34" t="s">
        <v>56</v>
      </c>
      <c r="G41" s="59">
        <f>G38-G39-G40</f>
        <v>0.7000000000000002</v>
      </c>
      <c r="H41" s="34" t="s">
        <v>27</v>
      </c>
      <c r="I41" s="34"/>
      <c r="J41" s="34"/>
      <c r="L41" s="14"/>
    </row>
    <row r="42" spans="1:12" ht="15">
      <c r="A42" s="123"/>
      <c r="B42" s="124"/>
      <c r="C42" s="125"/>
      <c r="D42" s="34"/>
      <c r="E42" s="36"/>
      <c r="F42" s="34" t="s">
        <v>57</v>
      </c>
      <c r="G42" s="83">
        <v>2.5</v>
      </c>
      <c r="H42" s="34" t="s">
        <v>27</v>
      </c>
      <c r="I42" s="34" t="s">
        <v>58</v>
      </c>
      <c r="J42" s="34"/>
      <c r="L42" s="14"/>
    </row>
    <row r="43" spans="1:12" ht="15">
      <c r="A43" s="123"/>
      <c r="B43" s="124"/>
      <c r="C43" s="125"/>
      <c r="D43" s="34"/>
      <c r="E43" s="34"/>
      <c r="F43" s="34" t="s">
        <v>59</v>
      </c>
      <c r="G43" s="83">
        <v>0.6</v>
      </c>
      <c r="H43" s="34" t="s">
        <v>27</v>
      </c>
      <c r="I43" s="34" t="s">
        <v>60</v>
      </c>
      <c r="J43" s="34"/>
      <c r="L43" s="14"/>
    </row>
    <row r="44" spans="1:12" ht="15">
      <c r="A44" s="123"/>
      <c r="B44" s="124"/>
      <c r="C44" s="125"/>
      <c r="D44" s="34"/>
      <c r="E44" s="36"/>
      <c r="F44" s="34" t="s">
        <v>61</v>
      </c>
      <c r="G44" s="83">
        <v>3</v>
      </c>
      <c r="H44" s="34" t="s">
        <v>27</v>
      </c>
      <c r="I44" s="34"/>
      <c r="J44" s="34"/>
      <c r="L44" s="14"/>
    </row>
    <row r="45" spans="1:12" ht="15">
      <c r="A45" s="126"/>
      <c r="B45" s="127"/>
      <c r="C45" s="128"/>
      <c r="D45" s="34"/>
      <c r="E45" s="34"/>
      <c r="F45" s="34" t="s">
        <v>17</v>
      </c>
      <c r="G45" s="59">
        <f>F353</f>
        <v>7.92</v>
      </c>
      <c r="H45" s="34" t="s">
        <v>21</v>
      </c>
      <c r="I45" s="34" t="s">
        <v>62</v>
      </c>
      <c r="J45" s="34"/>
      <c r="L45" s="14"/>
    </row>
    <row r="46" spans="1:12" ht="15">
      <c r="A46" s="15"/>
      <c r="B46" s="1"/>
      <c r="C46" s="1"/>
      <c r="D46" s="34"/>
      <c r="E46" s="36"/>
      <c r="F46" s="34" t="s">
        <v>63</v>
      </c>
      <c r="G46" s="83">
        <v>0</v>
      </c>
      <c r="H46" s="34" t="s">
        <v>20</v>
      </c>
      <c r="I46" s="34" t="s">
        <v>64</v>
      </c>
      <c r="J46" s="34"/>
      <c r="L46" s="14"/>
    </row>
    <row r="47" spans="1:12" ht="15">
      <c r="A47" s="15"/>
      <c r="B47" s="1"/>
      <c r="C47" s="1"/>
      <c r="D47" s="34"/>
      <c r="F47" s="34" t="s">
        <v>80</v>
      </c>
      <c r="G47" s="83">
        <v>0.35</v>
      </c>
      <c r="H47" s="34" t="s">
        <v>27</v>
      </c>
      <c r="I47" s="34"/>
      <c r="J47" s="34"/>
      <c r="L47" s="14"/>
    </row>
    <row r="48" spans="1:12" ht="15">
      <c r="A48" s="15"/>
      <c r="B48" s="1"/>
      <c r="C48" s="1"/>
      <c r="D48" s="34"/>
      <c r="E48" s="34"/>
      <c r="F48" s="34"/>
      <c r="G48" s="34"/>
      <c r="H48" s="34"/>
      <c r="I48" s="34"/>
      <c r="J48" s="34"/>
      <c r="L48" s="14"/>
    </row>
    <row r="49" spans="1:12" ht="15.75">
      <c r="A49" s="15"/>
      <c r="B49" s="1"/>
      <c r="C49" s="1"/>
      <c r="D49" s="34"/>
      <c r="E49" s="6" t="s">
        <v>65</v>
      </c>
      <c r="F49" s="34"/>
      <c r="G49" s="34"/>
      <c r="H49" s="34"/>
      <c r="I49" s="34"/>
      <c r="J49" s="34"/>
      <c r="L49" s="14"/>
    </row>
    <row r="50" spans="1:12" ht="15">
      <c r="A50" s="15"/>
      <c r="B50" s="1"/>
      <c r="C50" s="1"/>
      <c r="D50" s="34"/>
      <c r="E50" s="36"/>
      <c r="F50" s="34" t="s">
        <v>19</v>
      </c>
      <c r="G50" s="34">
        <v>41.188</v>
      </c>
      <c r="H50" s="34" t="s">
        <v>67</v>
      </c>
      <c r="I50" s="34" t="s">
        <v>28</v>
      </c>
      <c r="J50" s="34"/>
      <c r="L50" s="14"/>
    </row>
    <row r="51" spans="1:12" ht="15">
      <c r="A51" s="15"/>
      <c r="B51" s="1"/>
      <c r="C51" s="1"/>
      <c r="D51" s="34"/>
      <c r="E51" s="34"/>
      <c r="F51" s="34" t="s">
        <v>18</v>
      </c>
      <c r="G51" s="34">
        <v>3.1</v>
      </c>
      <c r="H51" s="34" t="s">
        <v>69</v>
      </c>
      <c r="I51" s="34" t="s">
        <v>68</v>
      </c>
      <c r="J51" s="34"/>
      <c r="L51" s="14"/>
    </row>
    <row r="52" spans="1:12" ht="15.75">
      <c r="A52" s="15"/>
      <c r="B52" s="1"/>
      <c r="C52" s="1"/>
      <c r="D52" s="34"/>
      <c r="E52" s="34"/>
      <c r="F52" s="34" t="s">
        <v>45</v>
      </c>
      <c r="G52" s="34">
        <v>24</v>
      </c>
      <c r="H52" s="34" t="s">
        <v>22</v>
      </c>
      <c r="I52" s="34" t="s">
        <v>70</v>
      </c>
      <c r="J52" s="34"/>
      <c r="L52" s="14"/>
    </row>
    <row r="53" spans="1:12" ht="15">
      <c r="A53" s="15"/>
      <c r="B53" s="1"/>
      <c r="C53" s="1"/>
      <c r="D53" s="34"/>
      <c r="E53" s="34"/>
      <c r="F53" s="34"/>
      <c r="G53" s="34"/>
      <c r="H53" s="34"/>
      <c r="I53" s="34"/>
      <c r="J53" s="34"/>
      <c r="L53" s="14"/>
    </row>
    <row r="54" spans="1:12" ht="15">
      <c r="A54" s="15"/>
      <c r="B54" s="1"/>
      <c r="C54" s="1"/>
      <c r="D54" s="35"/>
      <c r="E54" s="34"/>
      <c r="F54" s="34"/>
      <c r="G54" s="34"/>
      <c r="H54" s="34"/>
      <c r="I54" s="34"/>
      <c r="J54" s="34"/>
      <c r="L54" s="14"/>
    </row>
    <row r="55" spans="1:12" ht="15">
      <c r="A55" s="15"/>
      <c r="B55" s="1"/>
      <c r="C55" s="1"/>
      <c r="D55" s="34"/>
      <c r="E55" s="34"/>
      <c r="F55" s="34"/>
      <c r="G55" s="34"/>
      <c r="H55" s="34"/>
      <c r="I55" s="34"/>
      <c r="J55" s="34"/>
      <c r="L55" s="14"/>
    </row>
    <row r="56" spans="1:12" ht="12.75">
      <c r="A56" s="15"/>
      <c r="B56" s="1"/>
      <c r="C56" s="1"/>
      <c r="L56" s="14"/>
    </row>
    <row r="57" spans="1:12" ht="15" customHeight="1">
      <c r="A57" s="102" t="s">
        <v>7</v>
      </c>
      <c r="B57" s="103"/>
      <c r="C57" s="103"/>
      <c r="D57" s="103" t="s">
        <v>10</v>
      </c>
      <c r="E57" s="103"/>
      <c r="F57" s="103"/>
      <c r="G57" s="103"/>
      <c r="H57" s="103"/>
      <c r="I57" s="103" t="s">
        <v>11</v>
      </c>
      <c r="J57" s="103"/>
      <c r="K57" s="103"/>
      <c r="L57" s="109"/>
    </row>
    <row r="58" spans="1:12" ht="21" customHeight="1">
      <c r="A58" s="102"/>
      <c r="B58" s="103"/>
      <c r="C58" s="103"/>
      <c r="D58" s="103"/>
      <c r="E58" s="103"/>
      <c r="F58" s="103"/>
      <c r="G58" s="103"/>
      <c r="H58" s="103"/>
      <c r="I58" s="103" t="s">
        <v>12</v>
      </c>
      <c r="J58" s="103"/>
      <c r="K58" s="103"/>
      <c r="L58" s="109"/>
    </row>
    <row r="59" spans="1:12" ht="18.75" customHeight="1">
      <c r="A59" s="102" t="s">
        <v>8</v>
      </c>
      <c r="B59" s="103"/>
      <c r="C59" s="103"/>
      <c r="D59" s="22"/>
      <c r="E59" s="22"/>
      <c r="F59" s="22"/>
      <c r="G59" s="22"/>
      <c r="H59" s="22"/>
      <c r="I59" s="12"/>
      <c r="J59" s="12"/>
      <c r="K59" s="12"/>
      <c r="L59" s="23"/>
    </row>
    <row r="60" spans="1:12" ht="22.5" customHeight="1">
      <c r="A60" s="102"/>
      <c r="B60" s="103"/>
      <c r="C60" s="103"/>
      <c r="D60" s="22"/>
      <c r="E60" s="22"/>
      <c r="F60" s="22"/>
      <c r="G60" s="22"/>
      <c r="H60" s="22"/>
      <c r="I60" s="132" t="s">
        <v>13</v>
      </c>
      <c r="J60" s="103"/>
      <c r="K60" s="103"/>
      <c r="L60" s="109"/>
    </row>
    <row r="61" spans="1:12" ht="22.5" customHeight="1" thickBot="1">
      <c r="A61" s="99"/>
      <c r="B61" s="100"/>
      <c r="C61" s="101"/>
      <c r="D61" s="26"/>
      <c r="E61" s="26"/>
      <c r="F61" s="26"/>
      <c r="G61" s="26"/>
      <c r="H61" s="26"/>
      <c r="I61" s="107"/>
      <c r="J61" s="100"/>
      <c r="K61" s="100"/>
      <c r="L61" s="108"/>
    </row>
    <row r="62" spans="1:12" ht="37.5" customHeight="1">
      <c r="A62" s="104" t="s">
        <v>0</v>
      </c>
      <c r="B62" s="119"/>
      <c r="C62" s="119"/>
      <c r="D62" s="142" t="s">
        <v>4</v>
      </c>
      <c r="E62" s="143"/>
      <c r="F62" s="143"/>
      <c r="G62" s="143"/>
      <c r="H62" s="143"/>
      <c r="I62" s="143"/>
      <c r="J62" s="143"/>
      <c r="K62" s="143"/>
      <c r="L62" s="144"/>
    </row>
    <row r="63" spans="1:12" ht="30.75" customHeight="1">
      <c r="A63" s="90"/>
      <c r="B63" s="89"/>
      <c r="C63" s="89"/>
      <c r="L63" s="14"/>
    </row>
    <row r="64" spans="1:12" ht="26.25" customHeight="1">
      <c r="A64" s="90" t="s">
        <v>1</v>
      </c>
      <c r="B64" s="89"/>
      <c r="C64" s="89"/>
      <c r="D64" s="6"/>
      <c r="E64" s="41" t="s">
        <v>72</v>
      </c>
      <c r="F64" s="34"/>
      <c r="G64" s="34"/>
      <c r="H64" s="34"/>
      <c r="I64" s="34"/>
      <c r="J64" s="34"/>
      <c r="L64" s="14"/>
    </row>
    <row r="65" spans="1:12" ht="34.5" customHeight="1">
      <c r="A65" s="90"/>
      <c r="B65" s="89"/>
      <c r="C65" s="89"/>
      <c r="D65" s="34"/>
      <c r="E65" s="34"/>
      <c r="F65" s="34"/>
      <c r="G65" s="34"/>
      <c r="H65" s="34"/>
      <c r="I65" s="34"/>
      <c r="J65" s="34"/>
      <c r="L65" s="14"/>
    </row>
    <row r="66" spans="1:12" ht="30.75" customHeight="1">
      <c r="A66" s="90" t="s">
        <v>2</v>
      </c>
      <c r="B66" s="89"/>
      <c r="C66" s="89"/>
      <c r="D66" s="34"/>
      <c r="E66" s="34" t="s">
        <v>73</v>
      </c>
      <c r="F66" s="62">
        <v>3.25</v>
      </c>
      <c r="G66" s="34" t="s">
        <v>27</v>
      </c>
      <c r="H66" s="34" t="s">
        <v>74</v>
      </c>
      <c r="I66" s="34"/>
      <c r="J66" s="34"/>
      <c r="L66" s="14"/>
    </row>
    <row r="67" spans="1:12" ht="21" customHeight="1">
      <c r="A67" s="90"/>
      <c r="B67" s="89"/>
      <c r="C67" s="89"/>
      <c r="D67" s="34"/>
      <c r="E67" s="34" t="s">
        <v>75</v>
      </c>
      <c r="F67" s="62">
        <v>0.12</v>
      </c>
      <c r="G67" s="34" t="s">
        <v>27</v>
      </c>
      <c r="H67" s="34" t="s">
        <v>76</v>
      </c>
      <c r="I67" s="34"/>
      <c r="J67" s="34"/>
      <c r="L67" s="14"/>
    </row>
    <row r="68" spans="1:12" ht="15">
      <c r="A68" s="118" t="str">
        <f>A7</f>
        <v>                 Description</v>
      </c>
      <c r="B68" s="91" t="str">
        <f>B7</f>
        <v>  Calculation of pier Foundation</v>
      </c>
      <c r="C68" s="91">
        <f>C7</f>
        <v>0</v>
      </c>
      <c r="D68" s="34"/>
      <c r="E68" s="34"/>
      <c r="F68" s="34"/>
      <c r="G68" s="34"/>
      <c r="H68" s="34"/>
      <c r="I68" s="34"/>
      <c r="J68" s="34"/>
      <c r="L68" s="14"/>
    </row>
    <row r="69" spans="1:12" ht="15">
      <c r="A69" s="118"/>
      <c r="B69" s="91"/>
      <c r="C69" s="91"/>
      <c r="D69" s="34"/>
      <c r="E69" s="34"/>
      <c r="F69" s="34"/>
      <c r="G69" s="34"/>
      <c r="H69" s="34"/>
      <c r="I69" s="34"/>
      <c r="J69" s="34"/>
      <c r="L69" s="14"/>
    </row>
    <row r="70" spans="1:12" ht="15">
      <c r="A70" s="118"/>
      <c r="B70" s="91"/>
      <c r="C70" s="91"/>
      <c r="D70" s="34"/>
      <c r="E70" s="34"/>
      <c r="F70" s="34"/>
      <c r="G70" s="34"/>
      <c r="H70" s="34"/>
      <c r="I70" s="34"/>
      <c r="J70" s="34"/>
      <c r="L70" s="14"/>
    </row>
    <row r="71" spans="1:12" ht="16.5">
      <c r="A71" s="118"/>
      <c r="B71" s="91"/>
      <c r="C71" s="91"/>
      <c r="D71" s="6"/>
      <c r="E71" s="41" t="s">
        <v>77</v>
      </c>
      <c r="F71" s="34"/>
      <c r="G71" s="34"/>
      <c r="H71" s="34"/>
      <c r="I71" s="34"/>
      <c r="J71" s="34"/>
      <c r="L71" s="14"/>
    </row>
    <row r="72" spans="1:12" ht="15">
      <c r="A72" s="118"/>
      <c r="B72" s="91"/>
      <c r="C72" s="91"/>
      <c r="D72" s="34"/>
      <c r="E72" s="34"/>
      <c r="F72" s="34"/>
      <c r="G72" s="34"/>
      <c r="H72" s="34"/>
      <c r="I72" s="34"/>
      <c r="J72" s="34"/>
      <c r="L72" s="14"/>
    </row>
    <row r="73" spans="1:12" ht="15">
      <c r="A73" s="118"/>
      <c r="B73" s="91"/>
      <c r="C73" s="91"/>
      <c r="D73" s="34"/>
      <c r="J73" s="34"/>
      <c r="L73" s="14"/>
    </row>
    <row r="74" spans="1:12" ht="15.75">
      <c r="A74" s="118"/>
      <c r="B74" s="91"/>
      <c r="C74" s="91"/>
      <c r="D74" s="34" t="s">
        <v>128</v>
      </c>
      <c r="E74" s="6" t="s">
        <v>87</v>
      </c>
      <c r="J74" s="34"/>
      <c r="L74" s="14"/>
    </row>
    <row r="75" spans="1:12" ht="15">
      <c r="A75" s="118"/>
      <c r="B75" s="91"/>
      <c r="C75" s="91"/>
      <c r="D75" s="34">
        <v>1</v>
      </c>
      <c r="E75" s="34" t="s">
        <v>78</v>
      </c>
      <c r="F75" s="34">
        <f>G40*G42*G34</f>
        <v>71.25</v>
      </c>
      <c r="G75" s="34" t="s">
        <v>90</v>
      </c>
      <c r="H75" s="34" t="s">
        <v>86</v>
      </c>
      <c r="I75" s="34"/>
      <c r="J75" s="34"/>
      <c r="L75" s="14"/>
    </row>
    <row r="76" spans="1:12" ht="15">
      <c r="A76" s="118"/>
      <c r="B76" s="91"/>
      <c r="C76" s="91"/>
      <c r="D76" s="34">
        <v>1</v>
      </c>
      <c r="E76" s="34" t="s">
        <v>79</v>
      </c>
      <c r="F76" s="34">
        <f>G47*G38*G52</f>
        <v>21</v>
      </c>
      <c r="G76" s="34" t="s">
        <v>90</v>
      </c>
      <c r="H76" s="34" t="s">
        <v>81</v>
      </c>
      <c r="I76" s="34"/>
      <c r="J76" s="34"/>
      <c r="L76" s="14"/>
    </row>
    <row r="77" spans="1:12" ht="15">
      <c r="A77" s="118"/>
      <c r="B77" s="91"/>
      <c r="C77" s="91"/>
      <c r="D77" s="34">
        <v>1</v>
      </c>
      <c r="E77" s="34" t="s">
        <v>82</v>
      </c>
      <c r="F77" s="34">
        <f>G44*G39*G52</f>
        <v>21.599999999999998</v>
      </c>
      <c r="G77" s="34" t="s">
        <v>90</v>
      </c>
      <c r="H77" s="34" t="s">
        <v>83</v>
      </c>
      <c r="I77" s="34"/>
      <c r="J77" s="34"/>
      <c r="L77" s="14"/>
    </row>
    <row r="78" spans="1:12" ht="15">
      <c r="A78" s="118"/>
      <c r="B78" s="91"/>
      <c r="C78" s="91"/>
      <c r="D78" s="34">
        <v>1</v>
      </c>
      <c r="E78" s="34" t="s">
        <v>84</v>
      </c>
      <c r="F78" s="34">
        <f>G41*G34*G43</f>
        <v>7.980000000000002</v>
      </c>
      <c r="G78" s="34" t="s">
        <v>90</v>
      </c>
      <c r="H78" s="34" t="s">
        <v>85</v>
      </c>
      <c r="I78" s="34"/>
      <c r="J78" s="34"/>
      <c r="L78" s="14"/>
    </row>
    <row r="79" spans="1:12" ht="15">
      <c r="A79" s="118"/>
      <c r="B79" s="91"/>
      <c r="C79" s="91"/>
      <c r="D79" s="34">
        <v>1</v>
      </c>
      <c r="E79" s="34" t="s">
        <v>88</v>
      </c>
      <c r="F79" s="34">
        <f>F66*F67*G52</f>
        <v>9.36</v>
      </c>
      <c r="G79" s="34" t="s">
        <v>90</v>
      </c>
      <c r="H79" s="34" t="s">
        <v>89</v>
      </c>
      <c r="I79" s="34"/>
      <c r="J79" s="34"/>
      <c r="L79" s="14"/>
    </row>
    <row r="80" spans="1:12" ht="15">
      <c r="A80" s="15" t="s">
        <v>5</v>
      </c>
      <c r="B80" s="89" t="s">
        <v>6</v>
      </c>
      <c r="C80" s="89"/>
      <c r="D80" s="34">
        <v>1</v>
      </c>
      <c r="E80" s="34" t="s">
        <v>63</v>
      </c>
      <c r="F80" s="34">
        <v>11.8</v>
      </c>
      <c r="G80" s="34" t="s">
        <v>20</v>
      </c>
      <c r="H80" s="34" t="s">
        <v>91</v>
      </c>
      <c r="I80" s="34"/>
      <c r="J80" s="34" t="s">
        <v>126</v>
      </c>
      <c r="L80" s="14"/>
    </row>
    <row r="81" spans="1:12" ht="15">
      <c r="A81" s="15">
        <f aca="true" t="shared" si="0" ref="A81:B85">A20</f>
        <v>1</v>
      </c>
      <c r="B81" s="89" t="str">
        <f t="shared" si="0"/>
        <v>.20/9/07</v>
      </c>
      <c r="C81" s="89"/>
      <c r="D81" s="34">
        <v>1</v>
      </c>
      <c r="E81" s="34" t="s">
        <v>17</v>
      </c>
      <c r="F81" s="34">
        <f>G45</f>
        <v>7.92</v>
      </c>
      <c r="G81" s="34" t="s">
        <v>21</v>
      </c>
      <c r="H81" s="34" t="s">
        <v>92</v>
      </c>
      <c r="I81" s="34"/>
      <c r="J81" s="34"/>
      <c r="L81" s="14"/>
    </row>
    <row r="82" spans="1:12" ht="15">
      <c r="A82" s="21">
        <f t="shared" si="0"/>
        <v>0</v>
      </c>
      <c r="B82" s="113">
        <f t="shared" si="0"/>
        <v>0</v>
      </c>
      <c r="C82" s="113"/>
      <c r="D82" s="34"/>
      <c r="E82" s="34"/>
      <c r="F82" s="34"/>
      <c r="G82" s="34"/>
      <c r="H82" s="34"/>
      <c r="I82" s="34"/>
      <c r="J82" s="34"/>
      <c r="L82" s="14"/>
    </row>
    <row r="83" spans="1:12" ht="15">
      <c r="A83" s="21">
        <f t="shared" si="0"/>
        <v>0</v>
      </c>
      <c r="B83" s="113">
        <f t="shared" si="0"/>
        <v>0</v>
      </c>
      <c r="C83" s="113"/>
      <c r="D83" s="34"/>
      <c r="E83" s="34"/>
      <c r="F83" s="34"/>
      <c r="G83" s="34"/>
      <c r="H83" s="34"/>
      <c r="I83" s="34"/>
      <c r="J83" s="34"/>
      <c r="L83" s="14"/>
    </row>
    <row r="84" spans="1:12" ht="15.75">
      <c r="A84" s="21">
        <f t="shared" si="0"/>
        <v>0</v>
      </c>
      <c r="B84" s="113">
        <f t="shared" si="0"/>
        <v>0</v>
      </c>
      <c r="C84" s="113"/>
      <c r="D84" s="34"/>
      <c r="E84" s="6" t="s">
        <v>93</v>
      </c>
      <c r="F84" s="34"/>
      <c r="G84" s="34"/>
      <c r="H84" s="34"/>
      <c r="I84" s="34"/>
      <c r="J84" s="34"/>
      <c r="L84" s="14"/>
    </row>
    <row r="85" spans="1:12" ht="15">
      <c r="A85" s="21">
        <f t="shared" si="0"/>
        <v>0</v>
      </c>
      <c r="B85" s="113">
        <f t="shared" si="0"/>
        <v>0</v>
      </c>
      <c r="C85" s="113"/>
      <c r="D85" s="34"/>
      <c r="E85" s="34"/>
      <c r="F85" s="34"/>
      <c r="G85" s="34"/>
      <c r="H85" s="34"/>
      <c r="I85" s="34"/>
      <c r="J85" s="34"/>
      <c r="L85" s="14"/>
    </row>
    <row r="86" spans="1:12" ht="15">
      <c r="A86" s="133"/>
      <c r="B86" s="134"/>
      <c r="C86" s="135"/>
      <c r="D86" s="34"/>
      <c r="E86" s="34"/>
      <c r="F86" s="34"/>
      <c r="G86" s="34"/>
      <c r="H86" s="34"/>
      <c r="I86" s="34"/>
      <c r="J86" s="34"/>
      <c r="L86" s="14"/>
    </row>
    <row r="87" spans="1:12" ht="15">
      <c r="A87" s="136"/>
      <c r="B87" s="137"/>
      <c r="C87" s="138"/>
      <c r="D87" s="34" t="s">
        <v>95</v>
      </c>
      <c r="E87" s="34" t="s">
        <v>184</v>
      </c>
      <c r="F87" s="34"/>
      <c r="G87" s="34"/>
      <c r="H87" s="34"/>
      <c r="I87" s="34"/>
      <c r="J87" s="34"/>
      <c r="L87" s="14"/>
    </row>
    <row r="88" spans="1:12" ht="15">
      <c r="A88" s="136"/>
      <c r="B88" s="137"/>
      <c r="C88" s="138"/>
      <c r="D88" s="42">
        <v>1</v>
      </c>
      <c r="E88" s="42" t="s">
        <v>94</v>
      </c>
      <c r="F88" s="43">
        <f>G34*G36*G42</f>
        <v>22.14961376236243</v>
      </c>
      <c r="G88" s="42" t="s">
        <v>90</v>
      </c>
      <c r="H88" s="34"/>
      <c r="I88" s="34"/>
      <c r="J88" s="34"/>
      <c r="L88" s="14"/>
    </row>
    <row r="89" spans="1:12" ht="15">
      <c r="A89" s="136"/>
      <c r="B89" s="137"/>
      <c r="C89" s="138"/>
      <c r="D89" s="42">
        <v>1</v>
      </c>
      <c r="E89" s="42" t="s">
        <v>96</v>
      </c>
      <c r="F89" s="43">
        <f>G34*G36*G47</f>
        <v>3.1009459267307404</v>
      </c>
      <c r="G89" s="42" t="s">
        <v>90</v>
      </c>
      <c r="H89" s="34"/>
      <c r="I89" s="34"/>
      <c r="J89" s="34"/>
      <c r="L89" s="14"/>
    </row>
    <row r="90" spans="1:12" ht="15">
      <c r="A90" s="136"/>
      <c r="B90" s="137"/>
      <c r="C90" s="138"/>
      <c r="D90" s="42">
        <v>0</v>
      </c>
      <c r="E90" s="42" t="s">
        <v>97</v>
      </c>
      <c r="F90" s="43">
        <f>G34*G37*G43</f>
        <v>28.088606045521622</v>
      </c>
      <c r="G90" s="42" t="s">
        <v>90</v>
      </c>
      <c r="H90" s="34"/>
      <c r="I90" s="34"/>
      <c r="J90" s="34"/>
      <c r="L90" s="14"/>
    </row>
    <row r="91" spans="1:12" ht="15">
      <c r="A91" s="136"/>
      <c r="B91" s="137"/>
      <c r="C91" s="138"/>
      <c r="D91" s="42">
        <v>0</v>
      </c>
      <c r="E91" s="42" t="s">
        <v>98</v>
      </c>
      <c r="F91" s="43">
        <f>G34*G37*G47</f>
        <v>16.385020193220946</v>
      </c>
      <c r="G91" s="42" t="s">
        <v>90</v>
      </c>
      <c r="H91" s="34"/>
      <c r="I91" s="34"/>
      <c r="J91" s="34"/>
      <c r="L91" s="14"/>
    </row>
    <row r="92" spans="1:12" ht="15">
      <c r="A92" s="136"/>
      <c r="B92" s="137"/>
      <c r="C92" s="138"/>
      <c r="D92" s="42">
        <v>1</v>
      </c>
      <c r="E92" s="42" t="s">
        <v>99</v>
      </c>
      <c r="F92" s="43">
        <f>F80*G36</f>
        <v>5.5024303662289835</v>
      </c>
      <c r="G92" s="42" t="s">
        <v>90</v>
      </c>
      <c r="H92" s="34"/>
      <c r="I92" s="34"/>
      <c r="J92" s="34"/>
      <c r="L92" s="14"/>
    </row>
    <row r="93" spans="1:12" ht="15">
      <c r="A93" s="136"/>
      <c r="B93" s="137"/>
      <c r="C93" s="138"/>
      <c r="D93" s="42">
        <v>1</v>
      </c>
      <c r="E93" s="42" t="s">
        <v>213</v>
      </c>
      <c r="F93" s="42">
        <f>F81</f>
        <v>7.92</v>
      </c>
      <c r="G93" s="45" t="s">
        <v>90</v>
      </c>
      <c r="H93" s="34"/>
      <c r="I93" s="34"/>
      <c r="J93" s="34"/>
      <c r="L93" s="14"/>
    </row>
    <row r="94" spans="1:12" ht="15">
      <c r="A94" s="136"/>
      <c r="B94" s="137"/>
      <c r="C94" s="138"/>
      <c r="D94" s="34"/>
      <c r="E94" s="34"/>
      <c r="F94" s="34"/>
      <c r="G94" s="34"/>
      <c r="H94" s="34"/>
      <c r="I94" s="34"/>
      <c r="J94" s="34"/>
      <c r="L94" s="14"/>
    </row>
    <row r="95" spans="1:12" ht="15.75">
      <c r="A95" s="136"/>
      <c r="B95" s="137"/>
      <c r="C95" s="138"/>
      <c r="D95" s="6"/>
      <c r="E95" s="6" t="s">
        <v>100</v>
      </c>
      <c r="F95" s="34"/>
      <c r="G95" s="34"/>
      <c r="H95" s="34"/>
      <c r="I95" s="34"/>
      <c r="J95" s="34"/>
      <c r="L95" s="14"/>
    </row>
    <row r="96" spans="1:12" ht="15">
      <c r="A96" s="136"/>
      <c r="B96" s="137"/>
      <c r="C96" s="138"/>
      <c r="D96" s="34"/>
      <c r="E96" s="34"/>
      <c r="F96" s="34"/>
      <c r="G96" s="34"/>
      <c r="H96" s="34"/>
      <c r="I96" s="34"/>
      <c r="J96" s="34"/>
      <c r="L96" s="14"/>
    </row>
    <row r="97" spans="1:12" ht="15">
      <c r="A97" s="136"/>
      <c r="B97" s="137"/>
      <c r="C97" s="138"/>
      <c r="D97" s="34"/>
      <c r="E97" s="36" t="s">
        <v>101</v>
      </c>
      <c r="F97" s="34"/>
      <c r="G97" s="34"/>
      <c r="H97" s="34"/>
      <c r="I97" s="34"/>
      <c r="J97" s="34"/>
      <c r="L97" s="14"/>
    </row>
    <row r="98" spans="1:12" ht="15">
      <c r="A98" s="136"/>
      <c r="B98" s="137"/>
      <c r="C98" s="138"/>
      <c r="D98" s="34"/>
      <c r="E98" s="34" t="s">
        <v>102</v>
      </c>
      <c r="F98" s="34">
        <f>150</f>
        <v>150</v>
      </c>
      <c r="G98" s="34" t="s">
        <v>103</v>
      </c>
      <c r="H98" s="34"/>
      <c r="I98" s="34"/>
      <c r="J98" s="34"/>
      <c r="L98" s="14"/>
    </row>
    <row r="99" spans="1:12" ht="15">
      <c r="A99" s="136"/>
      <c r="B99" s="137"/>
      <c r="C99" s="138"/>
      <c r="D99" s="34"/>
      <c r="H99" s="34"/>
      <c r="I99" s="34"/>
      <c r="J99" s="34"/>
      <c r="L99" s="14"/>
    </row>
    <row r="100" spans="1:12" ht="15.75">
      <c r="A100" s="136"/>
      <c r="B100" s="137"/>
      <c r="C100" s="138"/>
      <c r="D100" s="6"/>
      <c r="E100" s="34" t="s">
        <v>105</v>
      </c>
      <c r="F100" s="34"/>
      <c r="G100" s="34"/>
      <c r="H100" s="34"/>
      <c r="I100" s="34"/>
      <c r="J100" s="34"/>
      <c r="L100" s="14"/>
    </row>
    <row r="101" spans="1:12" ht="15">
      <c r="A101" s="136"/>
      <c r="B101" s="137"/>
      <c r="C101" s="138"/>
      <c r="D101" s="34"/>
      <c r="E101" s="34"/>
      <c r="F101" s="34"/>
      <c r="G101" s="34"/>
      <c r="H101" s="34"/>
      <c r="I101" s="34"/>
      <c r="J101" s="34"/>
      <c r="L101" s="14"/>
    </row>
    <row r="102" spans="1:12" ht="15">
      <c r="A102" s="136"/>
      <c r="B102" s="137"/>
      <c r="C102" s="138"/>
      <c r="D102" s="34"/>
      <c r="E102" s="34" t="s">
        <v>104</v>
      </c>
      <c r="F102" s="34">
        <v>22.3</v>
      </c>
      <c r="G102" s="34" t="s">
        <v>106</v>
      </c>
      <c r="H102" s="34"/>
      <c r="I102" s="34"/>
      <c r="J102" s="34"/>
      <c r="L102" s="14"/>
    </row>
    <row r="103" spans="1:12" ht="15">
      <c r="A103" s="136"/>
      <c r="B103" s="137"/>
      <c r="C103" s="138"/>
      <c r="D103" s="34"/>
      <c r="E103" s="34"/>
      <c r="F103" s="34">
        <v>1.07</v>
      </c>
      <c r="G103" s="34" t="s">
        <v>107</v>
      </c>
      <c r="H103" s="34" t="s">
        <v>119</v>
      </c>
      <c r="I103" s="34"/>
      <c r="J103" s="34"/>
      <c r="L103" s="14"/>
    </row>
    <row r="104" spans="1:12" ht="15">
      <c r="A104" s="136"/>
      <c r="B104" s="137"/>
      <c r="C104" s="138"/>
      <c r="D104" s="34"/>
      <c r="E104" s="34" t="s">
        <v>108</v>
      </c>
      <c r="F104" s="34"/>
      <c r="G104" s="34"/>
      <c r="H104" s="34"/>
      <c r="I104" s="34"/>
      <c r="J104" s="34"/>
      <c r="L104" s="14"/>
    </row>
    <row r="105" spans="1:12" ht="15">
      <c r="A105" s="136"/>
      <c r="B105" s="137"/>
      <c r="C105" s="138"/>
      <c r="D105" s="35"/>
      <c r="E105" s="34"/>
      <c r="F105" s="34"/>
      <c r="G105" s="34"/>
      <c r="H105" s="34"/>
      <c r="I105" s="34"/>
      <c r="J105" s="34"/>
      <c r="L105" s="14"/>
    </row>
    <row r="106" spans="1:12" ht="15">
      <c r="A106" s="136"/>
      <c r="B106" s="137"/>
      <c r="C106" s="138"/>
      <c r="D106" s="35"/>
      <c r="E106" s="34" t="s">
        <v>109</v>
      </c>
      <c r="F106" s="34">
        <f>F66</f>
        <v>3.25</v>
      </c>
      <c r="G106" s="34" t="s">
        <v>27</v>
      </c>
      <c r="H106" s="34"/>
      <c r="I106" s="34"/>
      <c r="J106" s="34"/>
      <c r="L106" s="14"/>
    </row>
    <row r="107" spans="1:12" ht="15">
      <c r="A107" s="136"/>
      <c r="B107" s="137"/>
      <c r="C107" s="138"/>
      <c r="D107" s="35"/>
      <c r="E107" s="35"/>
      <c r="F107" s="34"/>
      <c r="G107" s="34"/>
      <c r="H107" s="34"/>
      <c r="I107" s="34"/>
      <c r="J107" s="34"/>
      <c r="L107" s="14"/>
    </row>
    <row r="108" spans="1:12" ht="15">
      <c r="A108" s="136"/>
      <c r="B108" s="137"/>
      <c r="C108" s="138"/>
      <c r="D108" s="35"/>
      <c r="E108" s="35" t="s">
        <v>110</v>
      </c>
      <c r="F108" s="34"/>
      <c r="G108" s="34"/>
      <c r="H108" s="34"/>
      <c r="I108" s="34"/>
      <c r="J108" s="34"/>
      <c r="L108" s="14"/>
    </row>
    <row r="109" spans="1:12" ht="15">
      <c r="A109" s="139"/>
      <c r="B109" s="140"/>
      <c r="C109" s="141"/>
      <c r="D109" s="35"/>
      <c r="E109" s="35"/>
      <c r="F109" s="34"/>
      <c r="G109" s="34"/>
      <c r="H109" s="34"/>
      <c r="I109" s="34"/>
      <c r="J109" s="34"/>
      <c r="L109" s="14"/>
    </row>
    <row r="110" spans="1:12" ht="15">
      <c r="A110" s="16"/>
      <c r="B110" s="10"/>
      <c r="C110" s="11"/>
      <c r="D110" s="35"/>
      <c r="E110" s="35" t="s">
        <v>111</v>
      </c>
      <c r="F110" s="62">
        <v>1.06</v>
      </c>
      <c r="G110" s="34" t="s">
        <v>112</v>
      </c>
      <c r="H110" s="34"/>
      <c r="I110" s="34"/>
      <c r="J110" s="34"/>
      <c r="L110" s="14"/>
    </row>
    <row r="111" spans="1:12" ht="15">
      <c r="A111" s="17"/>
      <c r="C111" s="3"/>
      <c r="D111" s="35"/>
      <c r="E111" s="35" t="s">
        <v>113</v>
      </c>
      <c r="F111" s="62">
        <v>1.3</v>
      </c>
      <c r="G111" s="34" t="s">
        <v>114</v>
      </c>
      <c r="H111" s="34"/>
      <c r="I111" s="34"/>
      <c r="J111" s="34"/>
      <c r="L111" s="14"/>
    </row>
    <row r="112" spans="1:12" ht="15">
      <c r="A112" s="17"/>
      <c r="C112" s="3"/>
      <c r="D112" s="35"/>
      <c r="E112" s="35" t="s">
        <v>115</v>
      </c>
      <c r="F112" s="62">
        <v>1.15</v>
      </c>
      <c r="G112" s="34" t="s">
        <v>116</v>
      </c>
      <c r="H112" s="34"/>
      <c r="I112" s="34"/>
      <c r="J112" s="34"/>
      <c r="L112" s="14"/>
    </row>
    <row r="113" spans="1:12" ht="15">
      <c r="A113" s="17"/>
      <c r="C113" s="3"/>
      <c r="D113" s="35"/>
      <c r="E113" s="35"/>
      <c r="F113" s="34"/>
      <c r="G113" s="34"/>
      <c r="H113" s="34"/>
      <c r="I113" s="34"/>
      <c r="J113" s="34"/>
      <c r="L113" s="14"/>
    </row>
    <row r="114" spans="1:12" ht="15">
      <c r="A114" s="17"/>
      <c r="C114" s="3"/>
      <c r="D114" s="35"/>
      <c r="E114" s="35" t="s">
        <v>117</v>
      </c>
      <c r="F114" s="34">
        <f>F110*F111*F112*F106</f>
        <v>5.150275</v>
      </c>
      <c r="G114" s="34" t="s">
        <v>20</v>
      </c>
      <c r="H114" s="34" t="s">
        <v>118</v>
      </c>
      <c r="I114" s="34"/>
      <c r="J114" s="34"/>
      <c r="L114" s="14"/>
    </row>
    <row r="115" spans="1:12" ht="15">
      <c r="A115" s="17"/>
      <c r="C115" s="3"/>
      <c r="D115" s="35"/>
      <c r="E115" s="35"/>
      <c r="F115" s="34"/>
      <c r="G115" s="34"/>
      <c r="H115" s="34"/>
      <c r="I115" s="34"/>
      <c r="J115" s="34"/>
      <c r="L115" s="14"/>
    </row>
    <row r="116" spans="1:12" ht="15">
      <c r="A116" s="17"/>
      <c r="C116" s="3"/>
      <c r="D116" s="35"/>
      <c r="E116" s="35"/>
      <c r="F116" s="34"/>
      <c r="G116" s="34"/>
      <c r="H116" s="34"/>
      <c r="I116" s="34"/>
      <c r="J116" s="34"/>
      <c r="L116" s="14"/>
    </row>
    <row r="117" spans="1:12" ht="15">
      <c r="A117" s="18"/>
      <c r="B117" s="4"/>
      <c r="C117" s="9"/>
      <c r="D117" s="35"/>
      <c r="E117" s="35"/>
      <c r="F117" s="34"/>
      <c r="G117" s="34"/>
      <c r="H117" s="34"/>
      <c r="I117" s="34"/>
      <c r="J117" s="34"/>
      <c r="L117" s="14"/>
    </row>
    <row r="118" spans="1:12" ht="18" customHeight="1">
      <c r="A118" s="102" t="s">
        <v>7</v>
      </c>
      <c r="B118" s="103"/>
      <c r="C118" s="103"/>
      <c r="D118" s="103"/>
      <c r="E118" s="103"/>
      <c r="F118" s="103"/>
      <c r="G118" s="103"/>
      <c r="H118" s="103"/>
      <c r="I118" s="103" t="s">
        <v>11</v>
      </c>
      <c r="J118" s="103"/>
      <c r="K118" s="103"/>
      <c r="L118" s="109"/>
    </row>
    <row r="119" spans="1:12" ht="18" customHeight="1">
      <c r="A119" s="102"/>
      <c r="B119" s="103"/>
      <c r="C119" s="103"/>
      <c r="D119" s="103"/>
      <c r="E119" s="103"/>
      <c r="F119" s="103"/>
      <c r="G119" s="103"/>
      <c r="H119" s="103"/>
      <c r="I119" s="103" t="s">
        <v>12</v>
      </c>
      <c r="J119" s="103"/>
      <c r="K119" s="103"/>
      <c r="L119" s="109"/>
    </row>
    <row r="120" spans="1:12" ht="15.75" customHeight="1">
      <c r="A120" s="102" t="s">
        <v>8</v>
      </c>
      <c r="B120" s="103"/>
      <c r="C120" s="103"/>
      <c r="D120" s="22"/>
      <c r="E120" s="22"/>
      <c r="F120" s="22"/>
      <c r="G120" s="22"/>
      <c r="H120" s="22"/>
      <c r="I120" s="93"/>
      <c r="J120" s="94"/>
      <c r="K120" s="94"/>
      <c r="L120" s="95"/>
    </row>
    <row r="121" spans="1:12" ht="18" customHeight="1">
      <c r="A121" s="102"/>
      <c r="B121" s="103"/>
      <c r="C121" s="103"/>
      <c r="D121" s="22"/>
      <c r="E121" s="22"/>
      <c r="F121" s="22"/>
      <c r="G121" s="22"/>
      <c r="H121" s="22"/>
      <c r="I121" s="103" t="s">
        <v>13</v>
      </c>
      <c r="J121" s="103"/>
      <c r="K121" s="103"/>
      <c r="L121" s="109"/>
    </row>
    <row r="122" spans="1:12" ht="13.5" thickBot="1">
      <c r="A122" s="19"/>
      <c r="B122" s="20"/>
      <c r="C122" s="20"/>
      <c r="D122" s="20"/>
      <c r="E122" s="20"/>
      <c r="F122" s="20"/>
      <c r="G122" s="20"/>
      <c r="H122" s="20"/>
      <c r="I122" s="145"/>
      <c r="J122" s="145"/>
      <c r="K122" s="145"/>
      <c r="L122" s="146"/>
    </row>
    <row r="123" spans="1:12" ht="36.75" customHeight="1">
      <c r="A123" s="104" t="s">
        <v>0</v>
      </c>
      <c r="B123" s="119"/>
      <c r="C123" s="119"/>
      <c r="D123" s="142" t="s">
        <v>4</v>
      </c>
      <c r="E123" s="143"/>
      <c r="F123" s="143"/>
      <c r="G123" s="143"/>
      <c r="H123" s="143"/>
      <c r="I123" s="143"/>
      <c r="J123" s="143"/>
      <c r="K123" s="143"/>
      <c r="L123" s="144"/>
    </row>
    <row r="124" spans="1:12" ht="30" customHeight="1">
      <c r="A124" s="90"/>
      <c r="B124" s="89"/>
      <c r="C124" s="89"/>
      <c r="L124" s="14"/>
    </row>
    <row r="125" spans="1:12" ht="24" customHeight="1">
      <c r="A125" s="90" t="s">
        <v>1</v>
      </c>
      <c r="B125" s="89"/>
      <c r="C125" s="89"/>
      <c r="D125" s="28"/>
      <c r="E125" s="28"/>
      <c r="F125" s="28"/>
      <c r="G125" s="28"/>
      <c r="H125" s="28"/>
      <c r="I125" s="28"/>
      <c r="J125" s="28"/>
      <c r="L125" s="14"/>
    </row>
    <row r="126" spans="1:12" ht="33.75" customHeight="1">
      <c r="A126" s="90"/>
      <c r="B126" s="89"/>
      <c r="C126" s="89"/>
      <c r="D126" s="28"/>
      <c r="E126" s="28"/>
      <c r="F126" s="110" t="s">
        <v>120</v>
      </c>
      <c r="G126" s="110"/>
      <c r="H126" s="110"/>
      <c r="I126" s="110"/>
      <c r="J126" s="110"/>
      <c r="L126" s="14"/>
    </row>
    <row r="127" spans="1:12" ht="15.75" customHeight="1">
      <c r="A127" s="90" t="s">
        <v>2</v>
      </c>
      <c r="B127" s="89"/>
      <c r="C127" s="89"/>
      <c r="D127" s="28"/>
      <c r="E127" s="28"/>
      <c r="F127" s="28"/>
      <c r="G127" s="28"/>
      <c r="H127" s="28"/>
      <c r="I127" s="28"/>
      <c r="J127" s="28"/>
      <c r="L127" s="14"/>
    </row>
    <row r="128" spans="1:12" ht="42" customHeight="1">
      <c r="A128" s="90"/>
      <c r="B128" s="89"/>
      <c r="C128" s="89"/>
      <c r="D128" s="31"/>
      <c r="E128" s="31"/>
      <c r="F128" s="28"/>
      <c r="G128" s="28"/>
      <c r="H128" s="28"/>
      <c r="I128" s="28"/>
      <c r="J128" s="28"/>
      <c r="L128" s="14"/>
    </row>
    <row r="129" spans="1:12" ht="12" customHeight="1">
      <c r="A129" s="118" t="str">
        <f>A7</f>
        <v>                 Description</v>
      </c>
      <c r="B129" s="91" t="str">
        <f>B7</f>
        <v>  Calculation of pier Foundation</v>
      </c>
      <c r="C129" s="91">
        <f>C7</f>
        <v>0</v>
      </c>
      <c r="D129" s="105" t="s">
        <v>129</v>
      </c>
      <c r="E129" s="111" t="s">
        <v>125</v>
      </c>
      <c r="F129" s="46" t="s">
        <v>121</v>
      </c>
      <c r="G129" s="46" t="s">
        <v>122</v>
      </c>
      <c r="H129" s="46" t="s">
        <v>123</v>
      </c>
      <c r="I129" s="28"/>
      <c r="J129" s="28"/>
      <c r="L129" s="14"/>
    </row>
    <row r="130" spans="1:12" ht="15">
      <c r="A130" s="118"/>
      <c r="B130" s="91"/>
      <c r="C130" s="91"/>
      <c r="D130" s="106"/>
      <c r="E130" s="112"/>
      <c r="F130" s="47" t="s">
        <v>21</v>
      </c>
      <c r="G130" s="47" t="s">
        <v>27</v>
      </c>
      <c r="H130" s="47" t="s">
        <v>124</v>
      </c>
      <c r="I130" s="28"/>
      <c r="J130" s="28"/>
      <c r="L130" s="14"/>
    </row>
    <row r="131" spans="1:12" ht="15">
      <c r="A131" s="118"/>
      <c r="B131" s="91"/>
      <c r="C131" s="91"/>
      <c r="D131" s="49">
        <v>1</v>
      </c>
      <c r="E131" s="48" t="s">
        <v>78</v>
      </c>
      <c r="F131" s="48">
        <f>F75</f>
        <v>71.25</v>
      </c>
      <c r="G131" s="48">
        <f>(G40/2)+G39+G41</f>
        <v>1.7500000000000002</v>
      </c>
      <c r="H131" s="48">
        <f>IF(D131=0,0,F131*G131)</f>
        <v>124.68750000000001</v>
      </c>
      <c r="I131" s="28"/>
      <c r="J131" s="34" t="s">
        <v>133</v>
      </c>
      <c r="L131" s="14"/>
    </row>
    <row r="132" spans="1:12" ht="15">
      <c r="A132" s="118"/>
      <c r="B132" s="91"/>
      <c r="C132" s="91"/>
      <c r="D132" s="49">
        <v>1</v>
      </c>
      <c r="E132" s="48" t="s">
        <v>79</v>
      </c>
      <c r="F132" s="48">
        <f>F76</f>
        <v>21</v>
      </c>
      <c r="G132" s="48">
        <f>G38/2</f>
        <v>1.25</v>
      </c>
      <c r="H132" s="48">
        <f>IF(D132=0,0,G132*F132)</f>
        <v>26.25</v>
      </c>
      <c r="I132" s="28"/>
      <c r="J132" s="28" t="str">
        <f>J131</f>
        <v>Resistance to Ovt.moment</v>
      </c>
      <c r="L132" s="14"/>
    </row>
    <row r="133" spans="1:12" ht="15">
      <c r="A133" s="118"/>
      <c r="B133" s="91"/>
      <c r="C133" s="91"/>
      <c r="D133" s="49">
        <v>1</v>
      </c>
      <c r="E133" s="48" t="s">
        <v>82</v>
      </c>
      <c r="F133" s="48">
        <f>F77</f>
        <v>21.599999999999998</v>
      </c>
      <c r="G133" s="48">
        <f>G39/2+G41</f>
        <v>0.8500000000000002</v>
      </c>
      <c r="H133" s="48">
        <f>IF(D133=0,0,G133*F133)</f>
        <v>18.360000000000003</v>
      </c>
      <c r="I133" s="28"/>
      <c r="J133" s="28" t="str">
        <f>J132</f>
        <v>Resistance to Ovt.moment</v>
      </c>
      <c r="L133" s="14"/>
    </row>
    <row r="134" spans="1:12" ht="15">
      <c r="A134" s="118"/>
      <c r="B134" s="91"/>
      <c r="C134" s="91"/>
      <c r="D134" s="49">
        <v>1</v>
      </c>
      <c r="E134" s="48" t="s">
        <v>84</v>
      </c>
      <c r="F134" s="48">
        <f>F78</f>
        <v>7.980000000000002</v>
      </c>
      <c r="G134" s="48">
        <f>G41/2</f>
        <v>0.3500000000000001</v>
      </c>
      <c r="H134" s="48">
        <f>IF(D134=0,0,G134*F134)</f>
        <v>2.7930000000000015</v>
      </c>
      <c r="I134" s="28"/>
      <c r="J134" s="28" t="str">
        <f>J133</f>
        <v>Resistance to Ovt.moment</v>
      </c>
      <c r="L134" s="14"/>
    </row>
    <row r="135" spans="1:12" ht="15">
      <c r="A135" s="118"/>
      <c r="B135" s="91"/>
      <c r="C135" s="91"/>
      <c r="D135" s="49">
        <v>1</v>
      </c>
      <c r="E135" s="48" t="s">
        <v>88</v>
      </c>
      <c r="F135" s="48">
        <f>F79</f>
        <v>9.36</v>
      </c>
      <c r="G135" s="48">
        <f>G39/2+G41</f>
        <v>0.8500000000000002</v>
      </c>
      <c r="H135" s="48">
        <f>IF(D131=0,0,F131*G131)</f>
        <v>124.68750000000001</v>
      </c>
      <c r="I135" s="28"/>
      <c r="J135" s="28" t="str">
        <f>J134</f>
        <v>Resistance to Ovt.moment</v>
      </c>
      <c r="L135" s="14"/>
    </row>
    <row r="136" spans="1:12" ht="15">
      <c r="A136" s="118"/>
      <c r="B136" s="91"/>
      <c r="C136" s="91"/>
      <c r="D136" s="49">
        <v>1</v>
      </c>
      <c r="E136" s="48" t="s">
        <v>127</v>
      </c>
      <c r="F136" s="48">
        <f>F92*G42</f>
        <v>13.75607591557246</v>
      </c>
      <c r="G136" s="48">
        <f>(G42/3)+G47</f>
        <v>1.1833333333333333</v>
      </c>
      <c r="H136" s="48">
        <f>IF(D136=0,0,(F136*G136))</f>
        <v>16.278023166760743</v>
      </c>
      <c r="I136" s="34"/>
      <c r="J136" s="34" t="s">
        <v>134</v>
      </c>
      <c r="L136" s="14"/>
    </row>
    <row r="137" spans="1:12" ht="15">
      <c r="A137" s="118"/>
      <c r="B137" s="91"/>
      <c r="C137" s="91"/>
      <c r="D137" s="49">
        <v>1</v>
      </c>
      <c r="E137" s="48" t="s">
        <v>94</v>
      </c>
      <c r="F137" s="48">
        <f>F89*G42/2</f>
        <v>3.8761824084134258</v>
      </c>
      <c r="G137" s="48">
        <f>G42/3+G47</f>
        <v>1.1833333333333333</v>
      </c>
      <c r="H137" s="48">
        <f>IF(D137=0,0,(F137*G137))</f>
        <v>4.5868158499558875</v>
      </c>
      <c r="I137" s="28"/>
      <c r="J137" s="28" t="str">
        <f>J136</f>
        <v>Ovt.moment </v>
      </c>
      <c r="L137" s="14"/>
    </row>
    <row r="138" spans="1:12" ht="15">
      <c r="A138" s="118"/>
      <c r="B138" s="91"/>
      <c r="C138" s="91"/>
      <c r="D138" s="49">
        <v>1</v>
      </c>
      <c r="E138" s="48" t="s">
        <v>96</v>
      </c>
      <c r="F138" s="48">
        <f>F89*G47/2</f>
        <v>0.5426655371778796</v>
      </c>
      <c r="G138" s="48">
        <f>G47/3</f>
        <v>0.11666666666666665</v>
      </c>
      <c r="H138" s="48">
        <f>IF(D138=0,0,(F138*G138))</f>
        <v>0.06331097933741928</v>
      </c>
      <c r="I138" s="28"/>
      <c r="J138" s="28" t="str">
        <f>J137</f>
        <v>Ovt.moment </v>
      </c>
      <c r="L138" s="14"/>
    </row>
    <row r="139" spans="1:12" ht="15">
      <c r="A139" s="118"/>
      <c r="B139" s="91"/>
      <c r="C139" s="91"/>
      <c r="D139" s="49">
        <v>1</v>
      </c>
      <c r="E139" s="48" t="s">
        <v>117</v>
      </c>
      <c r="F139" s="48">
        <f>IF(D139=0,0,F114*F66)</f>
        <v>16.73839375</v>
      </c>
      <c r="G139" s="48">
        <f>G44+F66/2</f>
        <v>4.625</v>
      </c>
      <c r="H139" s="48">
        <f>IF(D139=0,0,(F139*G139))</f>
        <v>77.41507109375</v>
      </c>
      <c r="I139" s="28"/>
      <c r="J139" s="28" t="str">
        <f>J138</f>
        <v>Ovt.moment </v>
      </c>
      <c r="L139" s="14"/>
    </row>
    <row r="140" spans="1:12" ht="15">
      <c r="A140" s="118"/>
      <c r="B140" s="91"/>
      <c r="C140" s="91"/>
      <c r="D140" s="49">
        <v>0</v>
      </c>
      <c r="E140" s="48" t="s">
        <v>130</v>
      </c>
      <c r="F140" s="48">
        <f>IF(D140=0,0,F90*G43/2)</f>
        <v>0</v>
      </c>
      <c r="G140" s="48">
        <f>G43/3</f>
        <v>0.19999999999999998</v>
      </c>
      <c r="H140" s="48">
        <f>IF(D140=0,0,-(F140*G140))</f>
        <v>0</v>
      </c>
      <c r="I140" s="28"/>
      <c r="J140" s="28" t="str">
        <f>J135</f>
        <v>Resistance to Ovt.moment</v>
      </c>
      <c r="L140" s="14"/>
    </row>
    <row r="141" spans="1:12" ht="15">
      <c r="A141" s="15" t="s">
        <v>5</v>
      </c>
      <c r="B141" s="89" t="s">
        <v>6</v>
      </c>
      <c r="C141" s="89"/>
      <c r="D141" s="49">
        <v>0</v>
      </c>
      <c r="E141" s="48" t="s">
        <v>131</v>
      </c>
      <c r="F141" s="48">
        <f>IF(D141=0,0,F91*G47/2)</f>
        <v>0</v>
      </c>
      <c r="G141" s="48">
        <f>G47/3</f>
        <v>0.11666666666666665</v>
      </c>
      <c r="H141" s="48">
        <f>IF(D141=0,0,-(F141*G141))</f>
        <v>0</v>
      </c>
      <c r="I141" s="28"/>
      <c r="J141" s="28" t="str">
        <f>J140</f>
        <v>Resistance to Ovt.moment</v>
      </c>
      <c r="L141" s="14"/>
    </row>
    <row r="142" spans="1:12" ht="15">
      <c r="A142" s="15"/>
      <c r="B142" s="89"/>
      <c r="C142" s="89"/>
      <c r="D142" s="85">
        <v>1</v>
      </c>
      <c r="E142" s="42" t="s">
        <v>213</v>
      </c>
      <c r="F142" s="42">
        <f>IF(D142=0,0,F93*G42/2)</f>
        <v>9.9</v>
      </c>
      <c r="G142" s="52">
        <f>G42/2+G47</f>
        <v>1.6</v>
      </c>
      <c r="H142" s="52">
        <f>IF(D142=0,0,F142*G142)</f>
        <v>15.840000000000002</v>
      </c>
      <c r="I142" s="28"/>
      <c r="J142" s="34" t="s">
        <v>134</v>
      </c>
      <c r="L142" s="14"/>
    </row>
    <row r="143" spans="1:12" ht="15">
      <c r="A143" s="15"/>
      <c r="B143" s="89"/>
      <c r="C143" s="89"/>
      <c r="D143" s="31"/>
      <c r="E143" s="28"/>
      <c r="F143" s="28"/>
      <c r="G143" s="28"/>
      <c r="H143" s="28"/>
      <c r="I143" s="28"/>
      <c r="J143" s="28"/>
      <c r="L143" s="14"/>
    </row>
    <row r="144" spans="1:12" ht="15">
      <c r="A144" s="15"/>
      <c r="B144" s="89"/>
      <c r="C144" s="89"/>
      <c r="D144" s="31"/>
      <c r="E144" s="28"/>
      <c r="F144" s="28"/>
      <c r="G144" s="28"/>
      <c r="H144" s="28"/>
      <c r="I144" s="28"/>
      <c r="J144" s="28"/>
      <c r="L144" s="14"/>
    </row>
    <row r="145" spans="1:12" ht="15">
      <c r="A145" s="15"/>
      <c r="B145" s="89"/>
      <c r="C145" s="89"/>
      <c r="D145" s="31"/>
      <c r="E145" s="28"/>
      <c r="F145" s="34" t="s">
        <v>132</v>
      </c>
      <c r="G145" s="50">
        <f>(H131+H132+H133+H134+H135)/(H136+H137+H138+H139+H140+H141+H142)</f>
        <v>2.5991384475534005</v>
      </c>
      <c r="H145" s="28" t="str">
        <f>IF(G145&gt;2,"&gt;2 ok","recheck")</f>
        <v>&gt;2 ok</v>
      </c>
      <c r="I145" s="34" t="s">
        <v>136</v>
      </c>
      <c r="J145" s="28"/>
      <c r="L145" s="14"/>
    </row>
    <row r="146" spans="1:12" ht="15">
      <c r="A146" s="15"/>
      <c r="B146" s="89"/>
      <c r="C146" s="89"/>
      <c r="D146" s="31"/>
      <c r="E146" s="28"/>
      <c r="F146" s="28"/>
      <c r="G146" s="28"/>
      <c r="H146" s="28"/>
      <c r="I146" s="28"/>
      <c r="J146" s="28"/>
      <c r="L146" s="14"/>
    </row>
    <row r="147" spans="1:12" ht="15">
      <c r="A147" s="15"/>
      <c r="B147" s="1"/>
      <c r="C147" s="1"/>
      <c r="D147" s="31"/>
      <c r="E147" s="28"/>
      <c r="F147" s="28"/>
      <c r="G147" s="28"/>
      <c r="H147" s="28"/>
      <c r="I147" s="28"/>
      <c r="J147" s="28"/>
      <c r="L147" s="14"/>
    </row>
    <row r="148" spans="1:12" ht="15">
      <c r="A148" s="15"/>
      <c r="B148" s="1"/>
      <c r="C148" s="1"/>
      <c r="D148" s="31"/>
      <c r="E148" s="28"/>
      <c r="F148" s="34" t="s">
        <v>135</v>
      </c>
      <c r="G148" s="50">
        <f>(F131+F132+F133+F134+F135+F140+F141)*TAN(G35*PI()/180)/(F136+F137+F138+F139+H142)</f>
        <v>1.2053379868097165</v>
      </c>
      <c r="H148" s="28" t="str">
        <f>IF(G148&gt;1.5,"&gt;1.5 then ok","Recheck")</f>
        <v>Recheck</v>
      </c>
      <c r="I148" s="28"/>
      <c r="J148" s="28"/>
      <c r="L148" s="14"/>
    </row>
    <row r="149" spans="1:12" ht="15">
      <c r="A149" s="15"/>
      <c r="B149" s="1"/>
      <c r="C149" s="1"/>
      <c r="D149" s="31"/>
      <c r="E149" s="28"/>
      <c r="F149" s="28"/>
      <c r="G149" s="28"/>
      <c r="H149" s="28"/>
      <c r="I149" s="28"/>
      <c r="J149" s="28"/>
      <c r="L149" s="14"/>
    </row>
    <row r="150" spans="1:12" ht="15.75">
      <c r="A150" s="15"/>
      <c r="B150" s="1"/>
      <c r="C150" s="1"/>
      <c r="D150" s="31"/>
      <c r="E150" s="39" t="s">
        <v>137</v>
      </c>
      <c r="F150" s="28"/>
      <c r="G150" s="28"/>
      <c r="H150" s="28"/>
      <c r="I150" s="28"/>
      <c r="J150" s="28"/>
      <c r="L150" s="14"/>
    </row>
    <row r="151" spans="1:12" ht="15">
      <c r="A151" s="92"/>
      <c r="B151" s="89"/>
      <c r="C151" s="89"/>
      <c r="D151" s="31"/>
      <c r="E151" s="45" t="s">
        <v>138</v>
      </c>
      <c r="F151" s="45" t="s">
        <v>139</v>
      </c>
      <c r="G151" s="45" t="s">
        <v>122</v>
      </c>
      <c r="H151" s="45" t="s">
        <v>140</v>
      </c>
      <c r="I151" s="28"/>
      <c r="J151" s="28"/>
      <c r="L151" s="14"/>
    </row>
    <row r="152" spans="1:12" ht="15">
      <c r="A152" s="92"/>
      <c r="B152" s="89"/>
      <c r="C152" s="89"/>
      <c r="D152" s="31"/>
      <c r="E152" s="48" t="s">
        <v>99</v>
      </c>
      <c r="F152" s="48">
        <f>F136</f>
        <v>13.75607591557246</v>
      </c>
      <c r="G152" s="48">
        <f>G42/2</f>
        <v>1.25</v>
      </c>
      <c r="H152" s="48">
        <f>F152*G152</f>
        <v>17.195094894465576</v>
      </c>
      <c r="I152" s="28"/>
      <c r="J152" s="28"/>
      <c r="L152" s="14"/>
    </row>
    <row r="153" spans="1:12" ht="15">
      <c r="A153" s="92"/>
      <c r="B153" s="89"/>
      <c r="C153" s="89"/>
      <c r="D153" s="31"/>
      <c r="E153" s="48" t="s">
        <v>94</v>
      </c>
      <c r="F153" s="48">
        <f>F137</f>
        <v>3.8761824084134258</v>
      </c>
      <c r="G153" s="48">
        <f>G42/3</f>
        <v>0.8333333333333334</v>
      </c>
      <c r="H153" s="48">
        <f>G153*F153</f>
        <v>3.2301520070111884</v>
      </c>
      <c r="I153" s="28"/>
      <c r="J153" s="28"/>
      <c r="L153" s="14"/>
    </row>
    <row r="154" spans="1:12" ht="15">
      <c r="A154" s="92"/>
      <c r="B154" s="89"/>
      <c r="C154" s="89"/>
      <c r="D154" s="31"/>
      <c r="E154" s="48" t="str">
        <f aca="true" t="shared" si="1" ref="E154:F156">E139</f>
        <v>Ppw=</v>
      </c>
      <c r="F154" s="48">
        <f t="shared" si="1"/>
        <v>16.73839375</v>
      </c>
      <c r="G154" s="48">
        <f>F106/2+G44</f>
        <v>4.625</v>
      </c>
      <c r="H154" s="48">
        <f>G154*F154</f>
        <v>77.41507109375</v>
      </c>
      <c r="I154" s="28"/>
      <c r="J154" s="28"/>
      <c r="L154" s="14"/>
    </row>
    <row r="155" spans="1:12" ht="15">
      <c r="A155" s="92"/>
      <c r="B155" s="89"/>
      <c r="C155" s="89"/>
      <c r="D155" s="31"/>
      <c r="E155" s="48" t="str">
        <f t="shared" si="1"/>
        <v>Pp1=</v>
      </c>
      <c r="F155" s="48">
        <f t="shared" si="1"/>
        <v>0</v>
      </c>
      <c r="G155" s="48">
        <f>G43/3</f>
        <v>0.19999999999999998</v>
      </c>
      <c r="H155" s="48">
        <f>-G155*F155</f>
        <v>0</v>
      </c>
      <c r="I155" s="28"/>
      <c r="J155" s="28"/>
      <c r="L155" s="14"/>
    </row>
    <row r="156" spans="1:12" ht="15">
      <c r="A156" s="92"/>
      <c r="B156" s="89"/>
      <c r="C156" s="89"/>
      <c r="D156" s="31"/>
      <c r="E156" s="48" t="str">
        <f t="shared" si="1"/>
        <v>Pp2=</v>
      </c>
      <c r="F156" s="48">
        <f t="shared" si="1"/>
        <v>0</v>
      </c>
      <c r="G156" s="48">
        <f>G47/3</f>
        <v>0.11666666666666665</v>
      </c>
      <c r="H156" s="48">
        <f>-G156*F156</f>
        <v>0</v>
      </c>
      <c r="I156" s="28"/>
      <c r="J156" s="28"/>
      <c r="L156" s="14"/>
    </row>
    <row r="157" spans="1:12" ht="15">
      <c r="A157" s="92"/>
      <c r="B157" s="89"/>
      <c r="C157" s="89"/>
      <c r="D157" s="31"/>
      <c r="E157" s="42" t="s">
        <v>213</v>
      </c>
      <c r="F157" s="84">
        <f>F142</f>
        <v>9.9</v>
      </c>
      <c r="G157" s="52">
        <f>G42/2</f>
        <v>1.25</v>
      </c>
      <c r="H157" s="48">
        <f>G157*F157</f>
        <v>12.375</v>
      </c>
      <c r="I157" s="34" t="s">
        <v>124</v>
      </c>
      <c r="J157" s="28"/>
      <c r="L157" s="14"/>
    </row>
    <row r="158" spans="1:12" ht="15">
      <c r="A158" s="92"/>
      <c r="B158" s="89"/>
      <c r="C158" s="89"/>
      <c r="D158" s="31"/>
      <c r="E158" s="53" t="s">
        <v>214</v>
      </c>
      <c r="H158" s="69">
        <f>SUM(H152:H157)</f>
        <v>110.21531799522677</v>
      </c>
      <c r="J158" s="28"/>
      <c r="L158" s="14"/>
    </row>
    <row r="159" spans="1:12" ht="15">
      <c r="A159" s="92"/>
      <c r="B159" s="89"/>
      <c r="C159" s="89"/>
      <c r="D159" s="31"/>
      <c r="J159" s="28"/>
      <c r="L159" s="14"/>
    </row>
    <row r="160" spans="1:12" ht="15">
      <c r="A160" s="92"/>
      <c r="B160" s="89"/>
      <c r="C160" s="89"/>
      <c r="D160" s="28"/>
      <c r="E160" s="34" t="s">
        <v>141</v>
      </c>
      <c r="F160" s="28"/>
      <c r="G160" s="28">
        <f>F77+F79</f>
        <v>30.959999999999997</v>
      </c>
      <c r="H160" s="34" t="s">
        <v>21</v>
      </c>
      <c r="I160" s="53" t="s">
        <v>215</v>
      </c>
      <c r="J160" s="28"/>
      <c r="L160" s="14"/>
    </row>
    <row r="161" spans="1:12" ht="15">
      <c r="A161" s="92"/>
      <c r="B161" s="89"/>
      <c r="C161" s="89"/>
      <c r="D161" s="31"/>
      <c r="E161" s="37"/>
      <c r="F161" s="28"/>
      <c r="G161" s="28"/>
      <c r="H161" s="28"/>
      <c r="I161" s="34" t="s">
        <v>216</v>
      </c>
      <c r="J161" s="28"/>
      <c r="L161" s="14"/>
    </row>
    <row r="162" spans="1:12" ht="15.75" thickBot="1">
      <c r="A162" s="92"/>
      <c r="B162" s="89"/>
      <c r="C162" s="89"/>
      <c r="D162" s="31"/>
      <c r="I162" s="28"/>
      <c r="J162" s="28"/>
      <c r="L162" s="14"/>
    </row>
    <row r="163" spans="1:12" ht="15" hidden="1">
      <c r="A163" s="92"/>
      <c r="B163" s="89"/>
      <c r="C163" s="89"/>
      <c r="D163" s="31"/>
      <c r="E163" s="28"/>
      <c r="F163" s="28"/>
      <c r="G163" s="28"/>
      <c r="H163" s="28"/>
      <c r="I163" s="28"/>
      <c r="J163" s="28"/>
      <c r="L163" s="14"/>
    </row>
    <row r="164" spans="1:12" ht="15" hidden="1">
      <c r="A164" s="92"/>
      <c r="B164" s="89"/>
      <c r="C164" s="89"/>
      <c r="D164" s="31"/>
      <c r="E164" s="34" t="s">
        <v>142</v>
      </c>
      <c r="F164" s="31"/>
      <c r="G164" s="31"/>
      <c r="H164" s="28">
        <f>H157*1.3</f>
        <v>16.087500000000002</v>
      </c>
      <c r="I164" s="34" t="s">
        <v>124</v>
      </c>
      <c r="J164" s="28"/>
      <c r="L164" s="14"/>
    </row>
    <row r="165" spans="1:12" ht="15" hidden="1">
      <c r="A165" s="92"/>
      <c r="B165" s="89"/>
      <c r="C165" s="89"/>
      <c r="D165" s="31"/>
      <c r="E165" s="31"/>
      <c r="F165" s="28"/>
      <c r="G165" s="28"/>
      <c r="H165" s="28"/>
      <c r="I165" s="28"/>
      <c r="J165" s="28"/>
      <c r="L165" s="14"/>
    </row>
    <row r="166" spans="1:12" ht="15" hidden="1">
      <c r="A166" s="92"/>
      <c r="B166" s="89"/>
      <c r="C166" s="89"/>
      <c r="D166" s="28"/>
      <c r="E166" s="34" t="s">
        <v>109</v>
      </c>
      <c r="F166" s="54">
        <v>300</v>
      </c>
      <c r="G166" s="34" t="s">
        <v>143</v>
      </c>
      <c r="H166" s="28"/>
      <c r="I166" s="28"/>
      <c r="J166" s="28"/>
      <c r="L166" s="14"/>
    </row>
    <row r="167" spans="1:12" ht="15" hidden="1">
      <c r="A167" s="15"/>
      <c r="B167" s="1"/>
      <c r="C167" s="1"/>
      <c r="D167" s="28"/>
      <c r="E167" s="34" t="s">
        <v>147</v>
      </c>
      <c r="F167" s="54">
        <v>75</v>
      </c>
      <c r="G167" s="34" t="s">
        <v>143</v>
      </c>
      <c r="H167" s="34" t="s">
        <v>148</v>
      </c>
      <c r="I167" s="28"/>
      <c r="J167" s="28"/>
      <c r="L167" s="14"/>
    </row>
    <row r="168" spans="1:12" ht="15.75" hidden="1">
      <c r="A168" s="15"/>
      <c r="B168" s="1"/>
      <c r="C168" s="1"/>
      <c r="D168" s="28"/>
      <c r="E168" s="51" t="s">
        <v>149</v>
      </c>
      <c r="F168" s="44">
        <f>F166-F167-8</f>
        <v>217</v>
      </c>
      <c r="G168" s="34" t="s">
        <v>143</v>
      </c>
      <c r="H168" s="28"/>
      <c r="I168" s="28"/>
      <c r="J168" s="28"/>
      <c r="L168" s="14"/>
    </row>
    <row r="169" spans="1:12" ht="15.75" hidden="1">
      <c r="A169" s="15"/>
      <c r="B169" s="1"/>
      <c r="C169" s="1"/>
      <c r="D169" s="28"/>
      <c r="E169" s="34" t="s">
        <v>144</v>
      </c>
      <c r="F169" s="54">
        <v>0.9</v>
      </c>
      <c r="G169" s="28"/>
      <c r="H169" s="34" t="s">
        <v>146</v>
      </c>
      <c r="I169" s="28"/>
      <c r="J169" s="28"/>
      <c r="L169" s="14"/>
    </row>
    <row r="170" spans="1:12" ht="15" hidden="1">
      <c r="A170" s="15"/>
      <c r="B170" s="1"/>
      <c r="C170" s="1"/>
      <c r="D170" s="28"/>
      <c r="E170" s="34" t="s">
        <v>145</v>
      </c>
      <c r="F170" s="54">
        <v>1000</v>
      </c>
      <c r="G170" s="34" t="s">
        <v>143</v>
      </c>
      <c r="H170" s="28"/>
      <c r="I170" s="28"/>
      <c r="J170" s="28"/>
      <c r="L170" s="14"/>
    </row>
    <row r="171" spans="1:12" ht="15.75" hidden="1">
      <c r="A171" s="15"/>
      <c r="B171" s="1"/>
      <c r="C171" s="1"/>
      <c r="D171" s="28"/>
      <c r="E171" s="34" t="s">
        <v>150</v>
      </c>
      <c r="F171" s="55">
        <f>H164*(10^6)/(F169*F168*F170*F168)</f>
        <v>0.3796003312875619</v>
      </c>
      <c r="G171" s="28"/>
      <c r="H171" s="28"/>
      <c r="I171" s="45" t="s">
        <v>19</v>
      </c>
      <c r="J171" s="52">
        <v>4200</v>
      </c>
      <c r="K171" s="53" t="s">
        <v>152</v>
      </c>
      <c r="L171" s="14"/>
    </row>
    <row r="172" spans="1:12" ht="15.75" hidden="1">
      <c r="A172" s="15"/>
      <c r="B172" s="1"/>
      <c r="C172" s="1"/>
      <c r="D172" s="28"/>
      <c r="E172" s="51" t="s">
        <v>151</v>
      </c>
      <c r="F172" s="55">
        <f>J171/(0.85*J172)</f>
        <v>17.647058823529413</v>
      </c>
      <c r="G172" s="28"/>
      <c r="H172" s="28"/>
      <c r="I172" s="45" t="s">
        <v>18</v>
      </c>
      <c r="J172" s="52">
        <v>280</v>
      </c>
      <c r="K172" s="53" t="s">
        <v>152</v>
      </c>
      <c r="L172" s="14"/>
    </row>
    <row r="173" spans="1:12" ht="15" hidden="1">
      <c r="A173" s="15"/>
      <c r="B173" s="1"/>
      <c r="C173" s="1"/>
      <c r="D173" s="28"/>
      <c r="E173" s="28"/>
      <c r="F173" s="28"/>
      <c r="G173" s="28"/>
      <c r="H173" s="28"/>
      <c r="I173" s="28"/>
      <c r="J173" s="28"/>
      <c r="L173" s="14"/>
    </row>
    <row r="174" spans="1:12" ht="15.75" hidden="1">
      <c r="A174" s="15"/>
      <c r="B174" s="1"/>
      <c r="C174" s="1"/>
      <c r="D174" s="28"/>
      <c r="E174" s="51" t="s">
        <v>153</v>
      </c>
      <c r="F174" s="28"/>
      <c r="G174" s="28"/>
      <c r="H174" s="28"/>
      <c r="I174" s="28"/>
      <c r="J174" s="28">
        <f>J171/(0.85*J172)</f>
        <v>17.647058823529413</v>
      </c>
      <c r="L174" s="14"/>
    </row>
    <row r="175" spans="1:12" ht="15" hidden="1">
      <c r="A175" s="15"/>
      <c r="B175" s="1"/>
      <c r="C175" s="1"/>
      <c r="D175" s="28"/>
      <c r="E175" s="28"/>
      <c r="F175" s="28"/>
      <c r="G175" s="28"/>
      <c r="H175" s="28"/>
      <c r="I175" s="28"/>
      <c r="J175" s="28"/>
      <c r="L175" s="14"/>
    </row>
    <row r="176" spans="1:12" ht="15.75" hidden="1">
      <c r="A176" s="57" t="s">
        <v>156</v>
      </c>
      <c r="B176" s="1"/>
      <c r="C176" s="1"/>
      <c r="D176" s="28"/>
      <c r="E176" s="34" t="s">
        <v>154</v>
      </c>
      <c r="F176" s="56">
        <f>(1/F172)*((1-2*F171*F172/J171)^0.5)%</f>
        <v>0.000565762134431815</v>
      </c>
      <c r="G176" s="28"/>
      <c r="H176" s="34" t="s">
        <v>155</v>
      </c>
      <c r="I176" s="28">
        <v>0.0015</v>
      </c>
      <c r="J176" s="53" t="s">
        <v>158</v>
      </c>
      <c r="K176" s="53"/>
      <c r="L176" s="14"/>
    </row>
    <row r="177" spans="1:12" ht="15" hidden="1">
      <c r="A177" s="57" t="s">
        <v>157</v>
      </c>
      <c r="B177" s="1"/>
      <c r="C177" s="1"/>
      <c r="D177" s="28"/>
      <c r="E177" s="28"/>
      <c r="F177" s="28"/>
      <c r="G177" s="28"/>
      <c r="H177" s="28"/>
      <c r="I177" s="28"/>
      <c r="J177" s="28"/>
      <c r="L177" s="14"/>
    </row>
    <row r="178" spans="1:12" ht="12.75" hidden="1">
      <c r="A178" s="15"/>
      <c r="B178" s="1"/>
      <c r="C178" s="1"/>
      <c r="L178" s="14"/>
    </row>
    <row r="179" spans="1:12" ht="12.75" hidden="1">
      <c r="A179" s="102" t="s">
        <v>7</v>
      </c>
      <c r="B179" s="103"/>
      <c r="C179" s="103"/>
      <c r="D179" s="103" t="s">
        <v>10</v>
      </c>
      <c r="E179" s="103"/>
      <c r="F179" s="103"/>
      <c r="G179" s="103"/>
      <c r="H179" s="103"/>
      <c r="I179" s="103" t="s">
        <v>11</v>
      </c>
      <c r="J179" s="103"/>
      <c r="K179" s="103"/>
      <c r="L179" s="109"/>
    </row>
    <row r="180" spans="1:12" ht="18" customHeight="1" hidden="1">
      <c r="A180" s="102"/>
      <c r="B180" s="103"/>
      <c r="C180" s="103"/>
      <c r="D180" s="103"/>
      <c r="E180" s="103"/>
      <c r="F180" s="103"/>
      <c r="G180" s="103"/>
      <c r="H180" s="103"/>
      <c r="I180" s="103" t="s">
        <v>12</v>
      </c>
      <c r="J180" s="103"/>
      <c r="K180" s="103"/>
      <c r="L180" s="109"/>
    </row>
    <row r="181" spans="1:12" ht="27.75" customHeight="1" hidden="1">
      <c r="A181" s="102" t="s">
        <v>8</v>
      </c>
      <c r="B181" s="103"/>
      <c r="C181" s="103"/>
      <c r="D181" s="22"/>
      <c r="E181" s="22"/>
      <c r="F181" s="22"/>
      <c r="G181" s="22"/>
      <c r="H181" s="22"/>
      <c r="I181" s="93"/>
      <c r="J181" s="94"/>
      <c r="K181" s="94"/>
      <c r="L181" s="95"/>
    </row>
    <row r="182" spans="1:12" ht="27" customHeight="1" hidden="1">
      <c r="A182" s="102"/>
      <c r="B182" s="103"/>
      <c r="C182" s="103"/>
      <c r="D182" s="22"/>
      <c r="E182" s="22"/>
      <c r="F182" s="22"/>
      <c r="G182" s="22"/>
      <c r="H182" s="22"/>
      <c r="I182" s="103" t="s">
        <v>13</v>
      </c>
      <c r="J182" s="103"/>
      <c r="K182" s="103"/>
      <c r="L182" s="109"/>
    </row>
    <row r="183" spans="1:12" ht="21" customHeight="1" hidden="1" thickBot="1">
      <c r="A183" s="27"/>
      <c r="B183" s="26"/>
      <c r="C183" s="26"/>
      <c r="D183" s="26"/>
      <c r="E183" s="26"/>
      <c r="F183" s="26"/>
      <c r="G183" s="26"/>
      <c r="H183" s="26"/>
      <c r="I183" s="147"/>
      <c r="J183" s="147"/>
      <c r="K183" s="147"/>
      <c r="L183" s="148"/>
    </row>
    <row r="184" spans="1:12" ht="27" customHeight="1" hidden="1">
      <c r="A184" s="104" t="s">
        <v>0</v>
      </c>
      <c r="B184" s="119"/>
      <c r="C184" s="119"/>
      <c r="D184" s="142" t="s">
        <v>4</v>
      </c>
      <c r="E184" s="143"/>
      <c r="F184" s="143"/>
      <c r="G184" s="143"/>
      <c r="H184" s="143"/>
      <c r="I184" s="143"/>
      <c r="J184" s="143"/>
      <c r="K184" s="143"/>
      <c r="L184" s="144"/>
    </row>
    <row r="185" spans="1:12" ht="40.5" customHeight="1" hidden="1">
      <c r="A185" s="90"/>
      <c r="B185" s="89"/>
      <c r="C185" s="89"/>
      <c r="E185" s="41" t="s">
        <v>171</v>
      </c>
      <c r="L185" s="14"/>
    </row>
    <row r="186" spans="1:12" ht="38.25" customHeight="1" hidden="1">
      <c r="A186" s="90" t="s">
        <v>1</v>
      </c>
      <c r="B186" s="89"/>
      <c r="C186" s="89"/>
      <c r="E186" s="34" t="s">
        <v>159</v>
      </c>
      <c r="F186" s="34">
        <f>IF(F176&gt;I176,F176*F168*F170,I176*F168*F170)</f>
        <v>325.5</v>
      </c>
      <c r="G186" s="53" t="s">
        <v>160</v>
      </c>
      <c r="I186" s="34" t="s">
        <v>166</v>
      </c>
      <c r="J186" s="65">
        <v>12</v>
      </c>
      <c r="L186" s="14"/>
    </row>
    <row r="187" spans="1:12" ht="27" customHeight="1" hidden="1">
      <c r="A187" s="90"/>
      <c r="B187" s="89"/>
      <c r="C187" s="89"/>
      <c r="E187" s="38" t="s">
        <v>170</v>
      </c>
      <c r="L187" s="14"/>
    </row>
    <row r="188" spans="1:12" ht="30.75" customHeight="1" hidden="1">
      <c r="A188" s="90" t="s">
        <v>2</v>
      </c>
      <c r="B188" s="89"/>
      <c r="C188" s="89"/>
      <c r="E188" s="59"/>
      <c r="F188" s="58"/>
      <c r="G188" s="61"/>
      <c r="H188" s="60"/>
      <c r="L188" s="14"/>
    </row>
    <row r="189" spans="1:7" ht="27" customHeight="1" hidden="1">
      <c r="A189" s="90"/>
      <c r="B189" s="89"/>
      <c r="C189" s="89"/>
      <c r="E189" s="62"/>
      <c r="G189" s="53"/>
    </row>
    <row r="190" spans="1:3" ht="12.75" customHeight="1" hidden="1">
      <c r="A190" s="118" t="str">
        <f>A7</f>
        <v>                 Description</v>
      </c>
      <c r="B190" s="91" t="str">
        <f>B7</f>
        <v>  Calculation of pier Foundation</v>
      </c>
      <c r="C190" s="91">
        <f>C7</f>
        <v>0</v>
      </c>
    </row>
    <row r="191" spans="1:5" ht="18" hidden="1">
      <c r="A191" s="118"/>
      <c r="B191" s="91"/>
      <c r="C191" s="91"/>
      <c r="E191" s="66" t="s">
        <v>161</v>
      </c>
    </row>
    <row r="192" spans="1:7" ht="17.25" hidden="1">
      <c r="A192" s="118"/>
      <c r="B192" s="91"/>
      <c r="C192" s="91"/>
      <c r="E192" s="38" t="s">
        <v>165</v>
      </c>
      <c r="F192" s="38">
        <v>0.002</v>
      </c>
      <c r="G192" s="53" t="s">
        <v>162</v>
      </c>
    </row>
    <row r="193" spans="1:3" ht="12.75" hidden="1">
      <c r="A193" s="118"/>
      <c r="B193" s="91"/>
      <c r="C193" s="91"/>
    </row>
    <row r="194" spans="1:7" ht="16.5" hidden="1">
      <c r="A194" s="118"/>
      <c r="B194" s="91"/>
      <c r="C194" s="91"/>
      <c r="E194" s="64" t="s">
        <v>175</v>
      </c>
      <c r="F194" s="38">
        <f>F192*F166*F170</f>
        <v>600</v>
      </c>
      <c r="G194" s="53" t="s">
        <v>160</v>
      </c>
    </row>
    <row r="195" spans="1:3" ht="12.75" hidden="1">
      <c r="A195" s="118"/>
      <c r="B195" s="91"/>
      <c r="C195" s="91"/>
    </row>
    <row r="196" spans="1:7" ht="16.5" hidden="1">
      <c r="A196" s="118"/>
      <c r="B196" s="91"/>
      <c r="C196" s="91"/>
      <c r="E196" s="64"/>
      <c r="F196" s="63"/>
      <c r="G196" s="53"/>
    </row>
    <row r="197" spans="1:5" ht="15" hidden="1">
      <c r="A197" s="118"/>
      <c r="B197" s="91"/>
      <c r="C197" s="91"/>
      <c r="E197" s="62"/>
    </row>
    <row r="198" spans="1:3" ht="12.75" hidden="1">
      <c r="A198" s="118"/>
      <c r="B198" s="91"/>
      <c r="C198" s="91"/>
    </row>
    <row r="199" spans="1:5" ht="15" hidden="1">
      <c r="A199" s="118"/>
      <c r="B199" s="91"/>
      <c r="C199" s="91"/>
      <c r="E199" s="34" t="s">
        <v>163</v>
      </c>
    </row>
    <row r="200" spans="1:3" ht="12.75" hidden="1">
      <c r="A200" s="118"/>
      <c r="B200" s="91"/>
      <c r="C200" s="91"/>
    </row>
    <row r="201" spans="1:7" ht="16.5" hidden="1">
      <c r="A201" s="118"/>
      <c r="B201" s="91"/>
      <c r="C201" s="91"/>
      <c r="E201" s="64" t="s">
        <v>164</v>
      </c>
      <c r="G201" s="53"/>
    </row>
    <row r="202" spans="1:3" ht="12.75" hidden="1">
      <c r="A202" s="15" t="s">
        <v>5</v>
      </c>
      <c r="B202" s="89" t="s">
        <v>6</v>
      </c>
      <c r="C202" s="89"/>
    </row>
    <row r="203" spans="1:12" ht="16.5" hidden="1">
      <c r="A203" s="15"/>
      <c r="B203" s="89"/>
      <c r="C203" s="89"/>
      <c r="E203" s="38"/>
      <c r="L203" s="14"/>
    </row>
    <row r="204" spans="1:12" ht="16.5" hidden="1">
      <c r="A204" s="15"/>
      <c r="B204" s="89"/>
      <c r="C204" s="89"/>
      <c r="E204" s="38" t="s">
        <v>167</v>
      </c>
      <c r="F204" s="38">
        <f>(2/3)*F186</f>
        <v>217</v>
      </c>
      <c r="G204" s="38" t="s">
        <v>160</v>
      </c>
      <c r="H204" s="38" t="s">
        <v>173</v>
      </c>
      <c r="L204" s="14"/>
    </row>
    <row r="205" spans="1:12" ht="12.75" hidden="1">
      <c r="A205" s="15"/>
      <c r="B205" s="89"/>
      <c r="C205" s="89"/>
      <c r="L205" s="14"/>
    </row>
    <row r="206" spans="1:12" ht="16.5" hidden="1">
      <c r="A206" s="15"/>
      <c r="B206" s="89"/>
      <c r="C206" s="89"/>
      <c r="E206" s="38" t="s">
        <v>168</v>
      </c>
      <c r="F206" s="63">
        <f>F204/(J186*J186*3.1415/4)</f>
        <v>1.9187578474543299</v>
      </c>
      <c r="G206" s="53" t="s">
        <v>169</v>
      </c>
      <c r="L206" s="14"/>
    </row>
    <row r="207" spans="1:12" ht="12.75" hidden="1">
      <c r="A207" s="15"/>
      <c r="B207" s="89"/>
      <c r="C207" s="89"/>
      <c r="L207" s="14"/>
    </row>
    <row r="208" spans="1:12" ht="16.5" hidden="1">
      <c r="A208" s="15"/>
      <c r="B208" s="1"/>
      <c r="C208" s="1"/>
      <c r="D208" s="6"/>
      <c r="E208" s="67" t="s">
        <v>187</v>
      </c>
      <c r="H208" s="38" t="s">
        <v>172</v>
      </c>
      <c r="L208" s="14"/>
    </row>
    <row r="209" spans="1:12" ht="12.75" hidden="1">
      <c r="A209" s="15"/>
      <c r="B209" s="1"/>
      <c r="C209" s="1"/>
      <c r="L209" s="14"/>
    </row>
    <row r="210" spans="1:12" ht="12.75" hidden="1">
      <c r="A210" s="15"/>
      <c r="B210" s="1"/>
      <c r="C210" s="1"/>
      <c r="I210" s="5"/>
      <c r="J210" s="5"/>
      <c r="K210" s="5"/>
      <c r="L210" s="14"/>
    </row>
    <row r="211" spans="1:12" ht="12.75" hidden="1">
      <c r="A211" s="15"/>
      <c r="B211" s="1"/>
      <c r="C211" s="1"/>
      <c r="L211" s="14"/>
    </row>
    <row r="212" spans="1:12" ht="16.5" hidden="1">
      <c r="A212" s="15"/>
      <c r="B212" s="1"/>
      <c r="C212" s="1"/>
      <c r="E212" s="67"/>
      <c r="L212" s="14"/>
    </row>
    <row r="213" spans="1:12" ht="16.5" hidden="1">
      <c r="A213" s="15"/>
      <c r="B213" s="1"/>
      <c r="C213" s="1"/>
      <c r="D213" s="8"/>
      <c r="E213" s="38" t="s">
        <v>174</v>
      </c>
      <c r="F213" s="38">
        <f>(2/3)*F194</f>
        <v>400</v>
      </c>
      <c r="G213" s="38" t="s">
        <v>160</v>
      </c>
      <c r="H213" s="38" t="s">
        <v>176</v>
      </c>
      <c r="L213" s="14"/>
    </row>
    <row r="214" spans="1:12" ht="9.75" customHeight="1" hidden="1">
      <c r="A214" s="15"/>
      <c r="B214" s="1"/>
      <c r="C214" s="1"/>
      <c r="D214" s="8" t="s">
        <v>26</v>
      </c>
      <c r="E214" s="8"/>
      <c r="F214" s="8">
        <f>ATAN(E193)</f>
        <v>0</v>
      </c>
      <c r="L214" s="14"/>
    </row>
    <row r="215" spans="1:12" ht="12.75" customHeight="1" hidden="1">
      <c r="A215" s="15"/>
      <c r="B215" s="1"/>
      <c r="C215" s="1"/>
      <c r="D215" s="8" t="s">
        <v>25</v>
      </c>
      <c r="E215" s="68" t="s">
        <v>177</v>
      </c>
      <c r="F215" s="63">
        <f>F213/(J186*J186*PI()/4)</f>
        <v>3.53677651315323</v>
      </c>
      <c r="G215" s="38" t="s">
        <v>178</v>
      </c>
      <c r="L215" s="14"/>
    </row>
    <row r="216" spans="1:12" ht="12.75" hidden="1">
      <c r="A216" s="15"/>
      <c r="B216" s="1"/>
      <c r="C216" s="1"/>
      <c r="D216" s="8" t="s">
        <v>24</v>
      </c>
      <c r="E216" s="8"/>
      <c r="F216" s="8">
        <f>EXP(H209*TAN(E193*H209/180))</f>
        <v>1</v>
      </c>
      <c r="L216" s="14"/>
    </row>
    <row r="217" spans="1:12" ht="12.75" hidden="1">
      <c r="A217" s="92"/>
      <c r="B217" s="89"/>
      <c r="C217" s="89"/>
      <c r="D217" s="8"/>
      <c r="E217" s="8"/>
      <c r="F217" s="8"/>
      <c r="L217" s="14"/>
    </row>
    <row r="218" spans="1:12" ht="16.5" hidden="1">
      <c r="A218" s="92"/>
      <c r="B218" s="89"/>
      <c r="C218" s="89"/>
      <c r="D218" s="8">
        <f>E224*COS(E193*H209/180)*TAN(H209/4+E193*H209/180)</f>
        <v>0</v>
      </c>
      <c r="E218" s="67" t="s">
        <v>179</v>
      </c>
      <c r="F218" s="8"/>
      <c r="L218" s="14"/>
    </row>
    <row r="219" spans="1:12" ht="12.75" hidden="1">
      <c r="A219" s="92"/>
      <c r="B219" s="89"/>
      <c r="C219" s="89"/>
      <c r="D219" s="8">
        <f>EXP(PI()*TAN(E193*H209/180))</f>
        <v>1</v>
      </c>
      <c r="E219" s="8"/>
      <c r="F219" s="8"/>
      <c r="L219" s="14"/>
    </row>
    <row r="220" spans="1:12" ht="12.75" hidden="1">
      <c r="A220" s="92"/>
      <c r="B220" s="89"/>
      <c r="C220" s="89"/>
      <c r="L220" s="14"/>
    </row>
    <row r="221" spans="1:12" ht="16.5" hidden="1">
      <c r="A221" s="92"/>
      <c r="B221" s="89"/>
      <c r="C221" s="89"/>
      <c r="E221" s="38" t="s">
        <v>182</v>
      </c>
      <c r="L221" s="14"/>
    </row>
    <row r="222" spans="1:12" ht="12.75" hidden="1">
      <c r="A222" s="92"/>
      <c r="B222" s="89"/>
      <c r="C222" s="89"/>
      <c r="L222" s="14"/>
    </row>
    <row r="223" spans="1:12" ht="16.5" hidden="1">
      <c r="A223" s="92"/>
      <c r="B223" s="89"/>
      <c r="C223" s="89"/>
      <c r="E223" s="38" t="s">
        <v>183</v>
      </c>
      <c r="F223" s="63">
        <f>F136+F137+F138+F139</f>
        <v>34.91331761116376</v>
      </c>
      <c r="G223" s="38" t="s">
        <v>21</v>
      </c>
      <c r="H223" s="38" t="s">
        <v>185</v>
      </c>
      <c r="L223" s="14"/>
    </row>
    <row r="224" spans="1:12" ht="12.75" hidden="1">
      <c r="A224" s="92"/>
      <c r="B224" s="89"/>
      <c r="C224" s="89"/>
      <c r="L224" s="14"/>
    </row>
    <row r="225" spans="1:12" ht="17.25" hidden="1">
      <c r="A225" s="92"/>
      <c r="B225" s="89"/>
      <c r="C225" s="89"/>
      <c r="E225" s="38" t="s">
        <v>186</v>
      </c>
      <c r="L225" s="14"/>
    </row>
    <row r="226" spans="1:12" ht="12.75" hidden="1">
      <c r="A226" s="92"/>
      <c r="B226" s="89"/>
      <c r="C226" s="89"/>
      <c r="L226" s="14"/>
    </row>
    <row r="227" spans="1:12" ht="17.25" hidden="1">
      <c r="A227" s="92"/>
      <c r="B227" s="89"/>
      <c r="C227" s="89"/>
      <c r="E227" s="38" t="s">
        <v>189</v>
      </c>
      <c r="F227" s="38">
        <f>(1/6)*0.85*SQRT(2.7468)*(F166/10)*(F170/10)</f>
        <v>704.3725931635897</v>
      </c>
      <c r="G227" s="38" t="s">
        <v>21</v>
      </c>
      <c r="H227" s="38" t="s">
        <v>188</v>
      </c>
      <c r="L227" s="14"/>
    </row>
    <row r="228" spans="1:12" ht="12.75" hidden="1">
      <c r="A228" s="92"/>
      <c r="B228" s="89"/>
      <c r="C228" s="89"/>
      <c r="L228" s="14"/>
    </row>
    <row r="229" spans="1:12" ht="12.75" hidden="1">
      <c r="A229" s="92"/>
      <c r="B229" s="89"/>
      <c r="C229" s="89"/>
      <c r="L229" s="14"/>
    </row>
    <row r="230" spans="1:12" ht="12.75" hidden="1">
      <c r="A230" s="92"/>
      <c r="B230" s="89"/>
      <c r="C230" s="89"/>
      <c r="L230" s="14"/>
    </row>
    <row r="231" spans="1:12" ht="12.75" hidden="1">
      <c r="A231" s="92"/>
      <c r="B231" s="89"/>
      <c r="C231" s="89"/>
      <c r="L231" s="14"/>
    </row>
    <row r="232" spans="1:12" ht="12.75" hidden="1">
      <c r="A232" s="92"/>
      <c r="B232" s="89"/>
      <c r="C232" s="89"/>
      <c r="L232" s="14"/>
    </row>
    <row r="233" spans="1:12" ht="12.75" hidden="1">
      <c r="A233" s="92"/>
      <c r="B233" s="89"/>
      <c r="C233" s="89"/>
      <c r="L233" s="14"/>
    </row>
    <row r="234" spans="1:12" ht="12.75" hidden="1">
      <c r="A234" s="15"/>
      <c r="B234" s="1"/>
      <c r="C234" s="1"/>
      <c r="L234" s="14"/>
    </row>
    <row r="235" spans="1:12" ht="12.75" hidden="1">
      <c r="A235" s="15"/>
      <c r="B235" s="1"/>
      <c r="C235" s="1"/>
      <c r="L235" s="14"/>
    </row>
    <row r="236" spans="1:12" ht="12.75" hidden="1">
      <c r="A236" s="15"/>
      <c r="B236" s="1"/>
      <c r="C236" s="1"/>
      <c r="L236" s="14"/>
    </row>
    <row r="237" spans="1:12" ht="12.75" hidden="1">
      <c r="A237" s="15"/>
      <c r="B237" s="1"/>
      <c r="C237" s="1"/>
      <c r="L237" s="14"/>
    </row>
    <row r="238" spans="1:12" ht="12.75" hidden="1">
      <c r="A238" s="15"/>
      <c r="B238" s="1"/>
      <c r="C238" s="1"/>
      <c r="L238" s="14"/>
    </row>
    <row r="239" spans="1:12" ht="12.75" hidden="1">
      <c r="A239" s="15"/>
      <c r="B239" s="1"/>
      <c r="C239" s="1"/>
      <c r="L239" s="14"/>
    </row>
    <row r="240" spans="1:12" ht="12.75" hidden="1">
      <c r="A240" s="102" t="s">
        <v>7</v>
      </c>
      <c r="B240" s="103"/>
      <c r="C240" s="103"/>
      <c r="D240" s="103" t="s">
        <v>10</v>
      </c>
      <c r="E240" s="103"/>
      <c r="F240" s="103"/>
      <c r="G240" s="103"/>
      <c r="H240" s="103"/>
      <c r="I240" s="103" t="s">
        <v>11</v>
      </c>
      <c r="J240" s="103"/>
      <c r="K240" s="103"/>
      <c r="L240" s="109"/>
    </row>
    <row r="241" spans="1:12" ht="12.75" hidden="1">
      <c r="A241" s="102"/>
      <c r="B241" s="103"/>
      <c r="C241" s="103"/>
      <c r="D241" s="103"/>
      <c r="E241" s="103"/>
      <c r="F241" s="103"/>
      <c r="G241" s="103"/>
      <c r="H241" s="103"/>
      <c r="I241" s="103" t="s">
        <v>12</v>
      </c>
      <c r="J241" s="103"/>
      <c r="K241" s="103"/>
      <c r="L241" s="109"/>
    </row>
    <row r="242" spans="1:12" ht="19.5" customHeight="1" hidden="1">
      <c r="A242" s="102" t="s">
        <v>8</v>
      </c>
      <c r="B242" s="103"/>
      <c r="C242" s="93"/>
      <c r="D242" s="22"/>
      <c r="E242" s="22"/>
      <c r="F242" s="22"/>
      <c r="G242" s="22"/>
      <c r="H242" s="22"/>
      <c r="I242" s="22"/>
      <c r="J242" s="22"/>
      <c r="K242" s="22"/>
      <c r="L242" s="24"/>
    </row>
    <row r="243" spans="1:12" ht="19.5" customHeight="1" hidden="1" thickBot="1">
      <c r="A243" s="149"/>
      <c r="B243" s="150"/>
      <c r="C243" s="151"/>
      <c r="D243" s="22"/>
      <c r="E243" s="22"/>
      <c r="F243" s="22"/>
      <c r="G243" s="22"/>
      <c r="H243" s="22"/>
      <c r="I243" s="103" t="s">
        <v>13</v>
      </c>
      <c r="J243" s="103"/>
      <c r="K243" s="103"/>
      <c r="L243" s="109"/>
    </row>
    <row r="244" spans="1:12" ht="21" customHeight="1" hidden="1" thickBot="1">
      <c r="A244" s="96"/>
      <c r="B244" s="97"/>
      <c r="C244" s="98"/>
      <c r="D244" s="25"/>
      <c r="E244" s="26"/>
      <c r="F244" s="26"/>
      <c r="G244" s="26"/>
      <c r="H244" s="26"/>
      <c r="I244" s="147"/>
      <c r="J244" s="147"/>
      <c r="K244" s="147"/>
      <c r="L244" s="148"/>
    </row>
    <row r="245" spans="1:12" ht="24" customHeight="1">
      <c r="A245" s="104" t="s">
        <v>0</v>
      </c>
      <c r="B245" s="119"/>
      <c r="C245" s="119"/>
      <c r="D245" s="142" t="s">
        <v>4</v>
      </c>
      <c r="E245" s="143"/>
      <c r="F245" s="143"/>
      <c r="G245" s="143"/>
      <c r="H245" s="143"/>
      <c r="I245" s="143"/>
      <c r="J245" s="143"/>
      <c r="K245" s="143"/>
      <c r="L245" s="144"/>
    </row>
    <row r="246" spans="1:12" ht="45" customHeight="1">
      <c r="A246" s="90"/>
      <c r="B246" s="89"/>
      <c r="C246" s="89"/>
      <c r="L246" s="14"/>
    </row>
    <row r="247" spans="1:12" ht="29.25" customHeight="1">
      <c r="A247" s="13" t="s">
        <v>1</v>
      </c>
      <c r="B247" s="7"/>
      <c r="C247" s="7"/>
      <c r="E247" s="152" t="s">
        <v>180</v>
      </c>
      <c r="F247" s="152"/>
      <c r="G247" s="152"/>
      <c r="H247" s="152"/>
      <c r="I247" s="152"/>
      <c r="J247" s="152"/>
      <c r="K247" s="152"/>
      <c r="L247" s="14"/>
    </row>
    <row r="248" spans="1:3" ht="14.25" customHeight="1">
      <c r="A248" s="13" t="s">
        <v>2</v>
      </c>
      <c r="B248" s="7"/>
      <c r="C248" s="7"/>
    </row>
    <row r="249" spans="1:3" ht="12.75">
      <c r="A249" s="118" t="str">
        <f>A7</f>
        <v>                 Description</v>
      </c>
      <c r="B249" s="91" t="str">
        <f>B7</f>
        <v>  Calculation of pier Foundation</v>
      </c>
      <c r="C249" s="91">
        <f>C7</f>
        <v>0</v>
      </c>
    </row>
    <row r="250" spans="1:3" ht="12.75">
      <c r="A250" s="118"/>
      <c r="B250" s="91"/>
      <c r="C250" s="91"/>
    </row>
    <row r="251" spans="1:8" ht="12.75">
      <c r="A251" s="118"/>
      <c r="B251" s="91"/>
      <c r="C251" s="91"/>
      <c r="E251" s="76" t="s">
        <v>17</v>
      </c>
      <c r="F251" s="73">
        <f>F131+F132+F133+F134+F135</f>
        <v>131.19</v>
      </c>
      <c r="G251" s="76" t="s">
        <v>21</v>
      </c>
      <c r="H251" s="53" t="s">
        <v>181</v>
      </c>
    </row>
    <row r="252" spans="1:5" ht="12.75">
      <c r="A252" s="118"/>
      <c r="B252" s="91"/>
      <c r="C252" s="91"/>
      <c r="E252" s="53"/>
    </row>
    <row r="253" spans="1:5" ht="16.5">
      <c r="A253" s="118"/>
      <c r="B253" s="91"/>
      <c r="C253" s="91"/>
      <c r="E253" s="38" t="s">
        <v>190</v>
      </c>
    </row>
    <row r="254" spans="1:4" ht="12.75">
      <c r="A254" s="118"/>
      <c r="B254" s="91"/>
      <c r="C254" s="91"/>
      <c r="D254" s="53"/>
    </row>
    <row r="255" spans="1:8" ht="12.75">
      <c r="A255" s="118"/>
      <c r="B255" s="91"/>
      <c r="C255" s="91"/>
      <c r="D255" s="70" t="s">
        <v>128</v>
      </c>
      <c r="E255" s="70" t="s">
        <v>191</v>
      </c>
      <c r="F255" s="70" t="s">
        <v>192</v>
      </c>
      <c r="G255" s="70" t="s">
        <v>196</v>
      </c>
      <c r="H255" s="71" t="s">
        <v>193</v>
      </c>
    </row>
    <row r="256" spans="1:8" ht="12.75">
      <c r="A256" s="118"/>
      <c r="B256" s="91"/>
      <c r="C256" s="91"/>
      <c r="D256" s="74">
        <v>1</v>
      </c>
      <c r="E256" s="72" t="str">
        <f>E131</f>
        <v>W1=</v>
      </c>
      <c r="F256" s="75">
        <f>IF(D256=1,F131,0)</f>
        <v>71.25</v>
      </c>
      <c r="G256" s="74">
        <f>(G38/2)-(G40/2)</f>
        <v>0.5</v>
      </c>
      <c r="H256" s="75">
        <f>G256*F256</f>
        <v>35.625</v>
      </c>
    </row>
    <row r="257" spans="1:8" ht="12.75">
      <c r="A257" s="118"/>
      <c r="B257" s="91"/>
      <c r="C257" s="91"/>
      <c r="D257" s="74">
        <v>1</v>
      </c>
      <c r="E257" s="72" t="str">
        <f aca="true" t="shared" si="2" ref="E257:E266">E132</f>
        <v>W2=</v>
      </c>
      <c r="F257" s="75">
        <f aca="true" t="shared" si="3" ref="F257:F264">IF(D257=1,F132,0)</f>
        <v>21</v>
      </c>
      <c r="G257" s="75">
        <v>0</v>
      </c>
      <c r="H257" s="75">
        <f>G257*F257</f>
        <v>0</v>
      </c>
    </row>
    <row r="258" spans="1:8" ht="12.75">
      <c r="A258" s="118"/>
      <c r="B258" s="91"/>
      <c r="C258" s="91"/>
      <c r="D258" s="74">
        <v>1</v>
      </c>
      <c r="E258" s="72" t="str">
        <f t="shared" si="2"/>
        <v>W3=</v>
      </c>
      <c r="F258" s="75">
        <f t="shared" si="3"/>
        <v>21.599999999999998</v>
      </c>
      <c r="G258" s="75">
        <f>-((G38/2)-(G39/2))</f>
        <v>-1.1</v>
      </c>
      <c r="H258" s="75">
        <f>G258*F258</f>
        <v>-23.759999999999998</v>
      </c>
    </row>
    <row r="259" spans="1:8" ht="12.75">
      <c r="A259" s="118"/>
      <c r="B259" s="91"/>
      <c r="C259" s="91"/>
      <c r="D259" s="77">
        <v>1</v>
      </c>
      <c r="E259" s="72" t="str">
        <f t="shared" si="2"/>
        <v>W4=</v>
      </c>
      <c r="F259" s="75">
        <f t="shared" si="3"/>
        <v>7.980000000000002</v>
      </c>
      <c r="G259" s="75">
        <f>-(G38/2-G41/2)</f>
        <v>-0.8999999999999999</v>
      </c>
      <c r="H259" s="75">
        <f>G259*F259</f>
        <v>-7.182000000000001</v>
      </c>
    </row>
    <row r="260" spans="1:8" ht="12.75">
      <c r="A260" s="118"/>
      <c r="B260" s="91"/>
      <c r="C260" s="91"/>
      <c r="D260" s="77">
        <v>1</v>
      </c>
      <c r="E260" s="72" t="str">
        <f t="shared" si="2"/>
        <v>W5=</v>
      </c>
      <c r="F260" s="75">
        <f t="shared" si="3"/>
        <v>9.36</v>
      </c>
      <c r="G260" s="75">
        <f>-((G38/2)-G41-F67/2)</f>
        <v>-0.4899999999999998</v>
      </c>
      <c r="H260" s="75">
        <f>G260*F260</f>
        <v>-4.5863999999999985</v>
      </c>
    </row>
    <row r="261" spans="1:12" ht="12.75">
      <c r="A261" s="118"/>
      <c r="B261" s="91"/>
      <c r="C261" s="91"/>
      <c r="D261" s="77">
        <v>0</v>
      </c>
      <c r="E261" s="72" t="str">
        <f t="shared" si="2"/>
        <v>PS=</v>
      </c>
      <c r="F261" s="75">
        <f t="shared" si="3"/>
        <v>0</v>
      </c>
      <c r="G261" s="75">
        <f>G42+G47</f>
        <v>2.85</v>
      </c>
      <c r="H261" s="75">
        <f aca="true" t="shared" si="4" ref="H261:H266">G261*F261</f>
        <v>0</v>
      </c>
      <c r="L261" s="14"/>
    </row>
    <row r="262" spans="1:12" ht="12.75">
      <c r="A262" s="118"/>
      <c r="B262" s="91"/>
      <c r="C262" s="91"/>
      <c r="D262" s="77">
        <v>1</v>
      </c>
      <c r="E262" s="72" t="str">
        <f t="shared" si="2"/>
        <v>Pa1=</v>
      </c>
      <c r="F262" s="75">
        <f t="shared" si="3"/>
        <v>3.8761824084134258</v>
      </c>
      <c r="G262" s="75">
        <f>G42/3+G47</f>
        <v>1.1833333333333333</v>
      </c>
      <c r="H262" s="75">
        <f t="shared" si="4"/>
        <v>4.5868158499558875</v>
      </c>
      <c r="L262" s="14"/>
    </row>
    <row r="263" spans="1:12" ht="12.75">
      <c r="A263" s="118"/>
      <c r="B263" s="91"/>
      <c r="C263" s="91"/>
      <c r="D263" s="77">
        <v>1</v>
      </c>
      <c r="E263" s="72" t="str">
        <f t="shared" si="2"/>
        <v>Pa2=</v>
      </c>
      <c r="F263" s="75">
        <f t="shared" si="3"/>
        <v>0.5426655371778796</v>
      </c>
      <c r="G263" s="75">
        <f>G47/3</f>
        <v>0.11666666666666665</v>
      </c>
      <c r="H263" s="75">
        <f t="shared" si="4"/>
        <v>0.06331097933741928</v>
      </c>
      <c r="L263" s="14"/>
    </row>
    <row r="264" spans="1:12" ht="12.75">
      <c r="A264" s="15" t="s">
        <v>5</v>
      </c>
      <c r="B264" s="89" t="s">
        <v>6</v>
      </c>
      <c r="C264" s="89"/>
      <c r="D264" s="77">
        <v>1</v>
      </c>
      <c r="E264" s="72" t="str">
        <f t="shared" si="2"/>
        <v>Ppw=</v>
      </c>
      <c r="F264" s="75">
        <f t="shared" si="3"/>
        <v>16.73839375</v>
      </c>
      <c r="G264" s="75">
        <f>F106/2+G44</f>
        <v>4.625</v>
      </c>
      <c r="H264" s="75">
        <f t="shared" si="4"/>
        <v>77.41507109375</v>
      </c>
      <c r="L264" s="14"/>
    </row>
    <row r="265" spans="1:12" ht="12.75">
      <c r="A265" s="15"/>
      <c r="B265" s="89"/>
      <c r="C265" s="89"/>
      <c r="D265" s="77">
        <v>0</v>
      </c>
      <c r="E265" s="72" t="str">
        <f t="shared" si="2"/>
        <v>Pp1=</v>
      </c>
      <c r="F265" s="75">
        <f>IF(D265=1,F90*G43/2,0)</f>
        <v>0</v>
      </c>
      <c r="G265" s="75">
        <f>-(G43/3+G47)</f>
        <v>-0.5499999999999999</v>
      </c>
      <c r="H265" s="75">
        <f t="shared" si="4"/>
        <v>0</v>
      </c>
      <c r="L265" s="14"/>
    </row>
    <row r="266" spans="1:12" ht="12.75">
      <c r="A266" s="15"/>
      <c r="B266" s="89"/>
      <c r="C266" s="89"/>
      <c r="D266" s="77">
        <v>0</v>
      </c>
      <c r="E266" s="72" t="str">
        <f t="shared" si="2"/>
        <v>Pp2=</v>
      </c>
      <c r="F266" s="75">
        <f>IF(D266=1,F91*G47/2,0)</f>
        <v>0</v>
      </c>
      <c r="G266" s="75">
        <f>-G47/3</f>
        <v>-0.11666666666666665</v>
      </c>
      <c r="H266" s="75">
        <f t="shared" si="4"/>
        <v>0</v>
      </c>
      <c r="L266" s="14"/>
    </row>
    <row r="267" spans="1:12" ht="12.75">
      <c r="A267" s="15"/>
      <c r="B267" s="89"/>
      <c r="C267" s="89"/>
      <c r="D267" s="70">
        <v>1</v>
      </c>
      <c r="E267" s="70" t="s">
        <v>213</v>
      </c>
      <c r="F267" s="74">
        <f>IF(D267=0,0,F142)</f>
        <v>9.9</v>
      </c>
      <c r="G267" s="74">
        <f>(G42/2)+G47</f>
        <v>1.6</v>
      </c>
      <c r="H267" s="74">
        <f>G267*F267</f>
        <v>15.840000000000002</v>
      </c>
      <c r="L267" s="14"/>
    </row>
    <row r="268" spans="1:12" ht="12.75">
      <c r="A268" s="15"/>
      <c r="B268" s="89"/>
      <c r="C268" s="89"/>
      <c r="L268" s="14"/>
    </row>
    <row r="269" spans="1:12" ht="12.75">
      <c r="A269" s="15"/>
      <c r="B269" s="89"/>
      <c r="C269" s="89"/>
      <c r="D269" s="53" t="s">
        <v>195</v>
      </c>
      <c r="G269" s="78" t="s">
        <v>194</v>
      </c>
      <c r="H269" s="75">
        <f>SUM(H256:H267)</f>
        <v>98.00179792304331</v>
      </c>
      <c r="I269" s="76" t="s">
        <v>124</v>
      </c>
      <c r="L269" s="14"/>
    </row>
    <row r="270" spans="1:12" ht="12.75">
      <c r="A270" s="15"/>
      <c r="B270" s="1"/>
      <c r="C270" s="1"/>
      <c r="L270" s="14"/>
    </row>
    <row r="271" spans="1:12" ht="12.75">
      <c r="A271" s="15"/>
      <c r="B271" s="1"/>
      <c r="C271" s="1"/>
      <c r="L271" s="14"/>
    </row>
    <row r="272" spans="1:12" ht="12.75">
      <c r="A272" s="15"/>
      <c r="B272" s="1"/>
      <c r="C272" s="1"/>
      <c r="E272" s="2" t="s">
        <v>23</v>
      </c>
      <c r="F272" s="60">
        <f>G38</f>
        <v>2.5</v>
      </c>
      <c r="G272" s="60" t="s">
        <v>27</v>
      </c>
      <c r="H272" s="2" t="s">
        <v>218</v>
      </c>
      <c r="L272" s="14"/>
    </row>
    <row r="273" spans="1:12" ht="12.75">
      <c r="A273" s="15"/>
      <c r="B273" s="1"/>
      <c r="C273" s="1"/>
      <c r="E273" s="2" t="s">
        <v>217</v>
      </c>
      <c r="F273" s="60">
        <f>1</f>
        <v>1</v>
      </c>
      <c r="G273" s="60" t="s">
        <v>27</v>
      </c>
      <c r="H273" s="2" t="s">
        <v>219</v>
      </c>
      <c r="L273" s="14"/>
    </row>
    <row r="274" spans="1:12" ht="12.75">
      <c r="A274" s="15"/>
      <c r="B274" s="1"/>
      <c r="C274" s="1"/>
      <c r="F274" s="60"/>
      <c r="G274" s="60"/>
      <c r="L274" s="14"/>
    </row>
    <row r="275" spans="1:12" ht="12.75">
      <c r="A275" s="15"/>
      <c r="B275" s="1"/>
      <c r="C275" s="1"/>
      <c r="E275" s="2" t="s">
        <v>220</v>
      </c>
      <c r="F275" s="60">
        <v>200</v>
      </c>
      <c r="G275" s="60" t="s">
        <v>20</v>
      </c>
      <c r="H275" s="2" t="s">
        <v>221</v>
      </c>
      <c r="L275" s="14"/>
    </row>
    <row r="276" spans="1:12" ht="12.75">
      <c r="A276" s="15"/>
      <c r="B276" s="1"/>
      <c r="C276" s="1"/>
      <c r="F276" s="60"/>
      <c r="G276" s="60"/>
      <c r="L276" s="14"/>
    </row>
    <row r="277" spans="1:12" ht="12.75">
      <c r="A277" s="15"/>
      <c r="B277" s="1"/>
      <c r="C277" s="1"/>
      <c r="E277" s="5" t="s">
        <v>222</v>
      </c>
      <c r="F277" s="69">
        <f>F273*(F272^3)/12</f>
        <v>1.3020833333333333</v>
      </c>
      <c r="G277" s="86" t="s">
        <v>224</v>
      </c>
      <c r="L277" s="14"/>
    </row>
    <row r="278" spans="1:12" ht="12.75">
      <c r="A278" s="15"/>
      <c r="B278" s="1"/>
      <c r="C278" s="1"/>
      <c r="E278" s="5" t="s">
        <v>223</v>
      </c>
      <c r="F278" s="69">
        <f>F272*(F273^3)/12</f>
        <v>0.20833333333333334</v>
      </c>
      <c r="G278" s="87" t="s">
        <v>224</v>
      </c>
      <c r="L278" s="14"/>
    </row>
    <row r="279" spans="1:12" ht="12.75">
      <c r="A279" s="92"/>
      <c r="B279" s="89"/>
      <c r="C279" s="89"/>
      <c r="L279" s="14"/>
    </row>
    <row r="280" spans="1:12" ht="12.75">
      <c r="A280" s="92"/>
      <c r="B280" s="89"/>
      <c r="C280" s="89"/>
      <c r="E280" s="88" t="s">
        <v>225</v>
      </c>
      <c r="L280" s="14"/>
    </row>
    <row r="281" spans="1:12" ht="12.75">
      <c r="A281" s="92"/>
      <c r="B281" s="89"/>
      <c r="C281" s="89"/>
      <c r="E281" s="88" t="s">
        <v>226</v>
      </c>
      <c r="L281" s="14"/>
    </row>
    <row r="282" spans="1:12" ht="12.75">
      <c r="A282" s="92"/>
      <c r="B282" s="89"/>
      <c r="C282" s="89"/>
      <c r="E282" s="88" t="s">
        <v>227</v>
      </c>
      <c r="L282" s="14"/>
    </row>
    <row r="283" spans="1:12" ht="12.75">
      <c r="A283" s="92"/>
      <c r="B283" s="89"/>
      <c r="C283" s="89"/>
      <c r="E283" s="88" t="s">
        <v>228</v>
      </c>
      <c r="L283" s="14"/>
    </row>
    <row r="284" spans="1:12" ht="12.75">
      <c r="A284" s="92"/>
      <c r="B284" s="89"/>
      <c r="C284" s="89"/>
      <c r="L284" s="14"/>
    </row>
    <row r="285" spans="1:12" ht="12.75">
      <c r="A285" s="92"/>
      <c r="B285" s="89"/>
      <c r="C285" s="89"/>
      <c r="L285" s="14"/>
    </row>
    <row r="286" spans="1:12" ht="12.75">
      <c r="A286" s="92"/>
      <c r="B286" s="89"/>
      <c r="C286" s="89"/>
      <c r="L286" s="14"/>
    </row>
    <row r="287" spans="1:12" ht="12.75">
      <c r="A287" s="92"/>
      <c r="B287" s="89"/>
      <c r="C287" s="89"/>
      <c r="L287" s="14"/>
    </row>
    <row r="288" spans="1:12" ht="12.75">
      <c r="A288" s="92"/>
      <c r="B288" s="89"/>
      <c r="C288" s="89"/>
      <c r="L288" s="14"/>
    </row>
    <row r="289" spans="1:12" ht="12.75">
      <c r="A289" s="92"/>
      <c r="B289" s="89"/>
      <c r="C289" s="89"/>
      <c r="L289" s="14"/>
    </row>
    <row r="290" spans="1:12" ht="12.75">
      <c r="A290" s="92"/>
      <c r="B290" s="89"/>
      <c r="C290" s="89"/>
      <c r="L290" s="14"/>
    </row>
    <row r="291" spans="1:12" ht="12.75">
      <c r="A291" s="92"/>
      <c r="B291" s="89"/>
      <c r="C291" s="89"/>
      <c r="L291" s="14"/>
    </row>
    <row r="292" spans="1:12" ht="12.75">
      <c r="A292" s="92"/>
      <c r="B292" s="89"/>
      <c r="C292" s="89"/>
      <c r="L292" s="14"/>
    </row>
    <row r="293" spans="1:12" ht="12.75">
      <c r="A293" s="92"/>
      <c r="B293" s="89"/>
      <c r="C293" s="89"/>
      <c r="L293" s="14"/>
    </row>
    <row r="294" spans="1:12" ht="12.75">
      <c r="A294" s="92"/>
      <c r="B294" s="89"/>
      <c r="C294" s="89"/>
      <c r="L294" s="14"/>
    </row>
    <row r="295" spans="1:12" ht="12.75">
      <c r="A295" s="92"/>
      <c r="B295" s="89"/>
      <c r="C295" s="89"/>
      <c r="L295" s="14"/>
    </row>
    <row r="296" spans="1:12" ht="12.75">
      <c r="A296" s="92"/>
      <c r="B296" s="89"/>
      <c r="C296" s="89"/>
      <c r="L296" s="14"/>
    </row>
    <row r="297" spans="1:12" ht="12.75">
      <c r="A297" s="15"/>
      <c r="B297" s="1"/>
      <c r="C297" s="1"/>
      <c r="L297" s="14"/>
    </row>
    <row r="298" spans="1:12" ht="12.75">
      <c r="A298" s="15"/>
      <c r="B298" s="1"/>
      <c r="C298" s="1"/>
      <c r="L298" s="14"/>
    </row>
    <row r="299" spans="1:12" ht="12.75">
      <c r="A299" s="15"/>
      <c r="B299" s="1"/>
      <c r="C299" s="1"/>
      <c r="L299" s="14"/>
    </row>
    <row r="300" spans="1:12" ht="12.75">
      <c r="A300" s="15"/>
      <c r="B300" s="1"/>
      <c r="C300" s="1"/>
      <c r="L300" s="14"/>
    </row>
    <row r="301" spans="1:12" ht="12.75">
      <c r="A301" s="15"/>
      <c r="B301" s="1"/>
      <c r="C301" s="1"/>
      <c r="L301" s="14"/>
    </row>
    <row r="302" spans="1:12" ht="12.75">
      <c r="A302" s="102" t="s">
        <v>7</v>
      </c>
      <c r="B302" s="103"/>
      <c r="C302" s="103"/>
      <c r="D302" s="103" t="s">
        <v>10</v>
      </c>
      <c r="E302" s="103"/>
      <c r="F302" s="103"/>
      <c r="G302" s="103"/>
      <c r="H302" s="103"/>
      <c r="I302" s="103" t="s">
        <v>11</v>
      </c>
      <c r="J302" s="103"/>
      <c r="K302" s="103"/>
      <c r="L302" s="109"/>
    </row>
    <row r="303" spans="1:12" ht="17.25" customHeight="1">
      <c r="A303" s="102"/>
      <c r="B303" s="103"/>
      <c r="C303" s="103"/>
      <c r="D303" s="103"/>
      <c r="E303" s="103"/>
      <c r="F303" s="103"/>
      <c r="G303" s="103"/>
      <c r="H303" s="103"/>
      <c r="I303" s="103" t="s">
        <v>12</v>
      </c>
      <c r="J303" s="103"/>
      <c r="K303" s="103"/>
      <c r="L303" s="109"/>
    </row>
    <row r="304" spans="1:12" ht="15" customHeight="1">
      <c r="A304" s="102" t="s">
        <v>8</v>
      </c>
      <c r="B304" s="103"/>
      <c r="C304" s="93"/>
      <c r="D304" s="22"/>
      <c r="E304" s="22"/>
      <c r="F304" s="22"/>
      <c r="G304" s="22"/>
      <c r="H304" s="22"/>
      <c r="I304" s="22"/>
      <c r="J304" s="22"/>
      <c r="K304" s="22"/>
      <c r="L304" s="24"/>
    </row>
    <row r="305" spans="1:12" ht="18" customHeight="1">
      <c r="A305" s="102"/>
      <c r="B305" s="103"/>
      <c r="C305" s="93"/>
      <c r="D305" s="22"/>
      <c r="E305" s="22"/>
      <c r="F305" s="22"/>
      <c r="G305" s="22"/>
      <c r="H305" s="22"/>
      <c r="I305" s="103" t="s">
        <v>13</v>
      </c>
      <c r="J305" s="103"/>
      <c r="K305" s="103"/>
      <c r="L305" s="109"/>
    </row>
    <row r="306" spans="1:12" ht="13.5" thickBot="1">
      <c r="A306" s="99"/>
      <c r="B306" s="100"/>
      <c r="C306" s="101"/>
      <c r="D306" s="26"/>
      <c r="E306" s="26"/>
      <c r="F306" s="26"/>
      <c r="G306" s="26"/>
      <c r="H306" s="26"/>
      <c r="I306" s="147"/>
      <c r="J306" s="147"/>
      <c r="K306" s="147"/>
      <c r="L306" s="148"/>
    </row>
    <row r="307" spans="1:12" ht="28.5" customHeight="1">
      <c r="A307" s="104" t="s">
        <v>0</v>
      </c>
      <c r="B307" s="119"/>
      <c r="C307" s="119"/>
      <c r="D307" s="142" t="s">
        <v>4</v>
      </c>
      <c r="E307" s="143"/>
      <c r="F307" s="143"/>
      <c r="G307" s="143"/>
      <c r="H307" s="143"/>
      <c r="I307" s="143"/>
      <c r="J307" s="143"/>
      <c r="K307" s="143"/>
      <c r="L307" s="144"/>
    </row>
    <row r="308" spans="1:12" ht="36.75" customHeight="1">
      <c r="A308" s="90"/>
      <c r="B308" s="89"/>
      <c r="C308" s="89"/>
      <c r="L308" s="14"/>
    </row>
    <row r="309" spans="1:12" ht="32.25" customHeight="1">
      <c r="A309" s="90" t="s">
        <v>1</v>
      </c>
      <c r="B309" s="89"/>
      <c r="C309" s="89"/>
      <c r="E309" s="79" t="s">
        <v>197</v>
      </c>
      <c r="L309" s="14"/>
    </row>
    <row r="310" spans="1:12" ht="30" customHeight="1">
      <c r="A310" s="90"/>
      <c r="B310" s="89"/>
      <c r="C310" s="89"/>
      <c r="E310" s="158"/>
      <c r="F310" s="158"/>
      <c r="G310" s="158"/>
      <c r="H310" s="158"/>
      <c r="I310" s="158"/>
      <c r="J310" s="158"/>
      <c r="K310" s="158"/>
      <c r="L310" s="14"/>
    </row>
    <row r="311" spans="1:12" ht="27.75" customHeight="1">
      <c r="A311" s="90" t="s">
        <v>2</v>
      </c>
      <c r="B311" s="89"/>
      <c r="C311" s="89"/>
      <c r="E311" s="53" t="s">
        <v>211</v>
      </c>
      <c r="L311" s="14"/>
    </row>
    <row r="312" spans="1:3" ht="27" customHeight="1">
      <c r="A312" s="90"/>
      <c r="B312" s="89"/>
      <c r="C312" s="89"/>
    </row>
    <row r="313" spans="1:3" ht="12.75">
      <c r="A313" s="118" t="str">
        <f>A7</f>
        <v>                 Description</v>
      </c>
      <c r="B313" s="91" t="str">
        <f>B7</f>
        <v>  Calculation of pier Foundation</v>
      </c>
      <c r="C313" s="91">
        <f>C7</f>
        <v>0</v>
      </c>
    </row>
    <row r="314" spans="1:3" ht="12.75">
      <c r="A314" s="118"/>
      <c r="B314" s="91"/>
      <c r="C314" s="91"/>
    </row>
    <row r="315" spans="1:7" ht="12.75">
      <c r="A315" s="118"/>
      <c r="B315" s="91"/>
      <c r="C315" s="91"/>
      <c r="E315" s="76" t="s">
        <v>206</v>
      </c>
      <c r="F315" s="80">
        <v>16</v>
      </c>
      <c r="G315" s="1" t="s">
        <v>208</v>
      </c>
    </row>
    <row r="316" spans="1:3" ht="12.75">
      <c r="A316" s="118"/>
      <c r="B316" s="91"/>
      <c r="C316" s="91"/>
    </row>
    <row r="317" spans="1:7" ht="15">
      <c r="A317" s="118"/>
      <c r="B317" s="91"/>
      <c r="C317" s="91"/>
      <c r="E317" s="45" t="s">
        <v>198</v>
      </c>
      <c r="F317" s="42">
        <v>2</v>
      </c>
      <c r="G317" s="45" t="s">
        <v>207</v>
      </c>
    </row>
    <row r="318" spans="1:7" ht="15">
      <c r="A318" s="118"/>
      <c r="B318" s="91"/>
      <c r="C318" s="91"/>
      <c r="E318" s="34"/>
      <c r="F318" s="59"/>
      <c r="G318" s="34"/>
    </row>
    <row r="319" spans="1:7" ht="15">
      <c r="A319" s="118"/>
      <c r="B319" s="91"/>
      <c r="C319" s="91"/>
      <c r="E319" s="45" t="s">
        <v>109</v>
      </c>
      <c r="F319" s="42">
        <v>8.36</v>
      </c>
      <c r="G319" s="45" t="s">
        <v>207</v>
      </c>
    </row>
    <row r="320" spans="1:7" ht="15">
      <c r="A320" s="118"/>
      <c r="B320" s="91"/>
      <c r="C320" s="91"/>
      <c r="E320" s="34"/>
      <c r="F320" s="59"/>
      <c r="G320" s="34"/>
    </row>
    <row r="321" spans="1:7" ht="15">
      <c r="A321" s="118"/>
      <c r="B321" s="91"/>
      <c r="C321" s="91"/>
      <c r="E321" s="45" t="s">
        <v>199</v>
      </c>
      <c r="F321" s="43">
        <f>F317/F319</f>
        <v>0.23923444976076558</v>
      </c>
      <c r="G321" s="45"/>
    </row>
    <row r="322" spans="1:3" ht="12.75">
      <c r="A322" s="118"/>
      <c r="B322" s="91"/>
      <c r="C322" s="91"/>
    </row>
    <row r="323" spans="1:5" ht="12.75">
      <c r="A323" s="118"/>
      <c r="B323" s="91"/>
      <c r="C323" s="91"/>
      <c r="E323" s="2" t="s">
        <v>200</v>
      </c>
    </row>
    <row r="324" spans="1:3" ht="12.75">
      <c r="A324" s="118"/>
      <c r="B324" s="91"/>
      <c r="C324" s="91"/>
    </row>
    <row r="325" spans="1:3" ht="12.75">
      <c r="A325" s="15" t="s">
        <v>5</v>
      </c>
      <c r="B325" s="89" t="s">
        <v>6</v>
      </c>
      <c r="C325" s="89"/>
    </row>
    <row r="326" spans="1:5" ht="12.75">
      <c r="A326" s="15"/>
      <c r="B326" s="89"/>
      <c r="C326" s="89"/>
      <c r="E326" s="76" t="s">
        <v>201</v>
      </c>
    </row>
    <row r="327" spans="1:3" ht="12.75">
      <c r="A327" s="15"/>
      <c r="B327" s="89"/>
      <c r="C327" s="89"/>
    </row>
    <row r="328" spans="1:3" ht="12.75">
      <c r="A328" s="15"/>
      <c r="B328" s="89"/>
      <c r="C328" s="89"/>
    </row>
    <row r="329" spans="1:3" ht="12.75">
      <c r="A329" s="15"/>
      <c r="B329" s="89"/>
      <c r="C329" s="89"/>
    </row>
    <row r="330" spans="1:3" ht="12.75">
      <c r="A330" s="15"/>
      <c r="B330" s="89"/>
      <c r="C330" s="89"/>
    </row>
    <row r="331" spans="1:3" ht="12.75">
      <c r="A331" s="92"/>
      <c r="B331" s="89"/>
      <c r="C331" s="89"/>
    </row>
    <row r="332" spans="1:5" ht="12.75">
      <c r="A332" s="92"/>
      <c r="B332" s="89"/>
      <c r="C332" s="89"/>
      <c r="E332" s="76" t="s">
        <v>202</v>
      </c>
    </row>
    <row r="333" spans="1:3" ht="12.75">
      <c r="A333" s="92"/>
      <c r="B333" s="89"/>
      <c r="C333" s="89"/>
    </row>
    <row r="334" spans="1:3" ht="12.75">
      <c r="A334" s="92"/>
      <c r="B334" s="89"/>
      <c r="C334" s="89"/>
    </row>
    <row r="335" spans="1:3" ht="12.75">
      <c r="A335" s="92"/>
      <c r="B335" s="89"/>
      <c r="C335" s="89"/>
    </row>
    <row r="336" spans="1:3" ht="12.75">
      <c r="A336" s="92"/>
      <c r="B336" s="89"/>
      <c r="C336" s="89"/>
    </row>
    <row r="337" spans="1:7" ht="12.75">
      <c r="A337" s="92"/>
      <c r="B337" s="89"/>
      <c r="C337" s="89"/>
      <c r="E337" s="80" t="s">
        <v>203</v>
      </c>
      <c r="F337" s="80" t="s">
        <v>204</v>
      </c>
      <c r="G337" s="80" t="s">
        <v>205</v>
      </c>
    </row>
    <row r="338" spans="1:7" ht="12.75">
      <c r="A338" s="92"/>
      <c r="B338" s="89"/>
      <c r="C338" s="89"/>
      <c r="E338" s="74">
        <v>0</v>
      </c>
      <c r="F338" s="72">
        <f>F339</f>
        <v>0.23923444976076558</v>
      </c>
      <c r="G338" s="72">
        <f aca="true" t="shared" si="5" ref="G338:G348">IF($F$339&gt;4,((1.77*$F$315*($F$321^2)*(E338^2))/(($F$319^2)*(($F$321^2)*(E338^2))^3)),(0.28*$F$315*(E338^2)/(($F$319^2)*(0.16+(E338^2))^3)))</f>
        <v>0</v>
      </c>
    </row>
    <row r="339" spans="1:7" ht="12.75">
      <c r="A339" s="92"/>
      <c r="B339" s="89"/>
      <c r="C339" s="89"/>
      <c r="E339" s="7">
        <f>0.1*F319/F319</f>
        <v>0.1</v>
      </c>
      <c r="F339" s="75">
        <f>F317/F319</f>
        <v>0.23923444976076558</v>
      </c>
      <c r="G339" s="75">
        <f t="shared" si="5"/>
        <v>0.1304724131622565</v>
      </c>
    </row>
    <row r="340" spans="1:7" ht="12.75">
      <c r="A340" s="92"/>
      <c r="B340" s="89"/>
      <c r="C340" s="89"/>
      <c r="E340" s="7">
        <f>0.2*F319/F319</f>
        <v>0.2</v>
      </c>
      <c r="F340" s="75">
        <f aca="true" t="shared" si="6" ref="F340:F348">F339</f>
        <v>0.23923444976076558</v>
      </c>
      <c r="G340" s="75">
        <f t="shared" si="5"/>
        <v>0.32050548293308306</v>
      </c>
    </row>
    <row r="341" spans="1:7" ht="12.75">
      <c r="A341" s="92"/>
      <c r="B341" s="89"/>
      <c r="C341" s="89"/>
      <c r="E341" s="7">
        <f>0.3*F319/F319</f>
        <v>0.3</v>
      </c>
      <c r="F341" s="75">
        <f t="shared" si="6"/>
        <v>0.23923444976076558</v>
      </c>
      <c r="G341" s="75">
        <f t="shared" si="5"/>
        <v>0.3692223163389117</v>
      </c>
    </row>
    <row r="342" spans="1:7" ht="12.75">
      <c r="A342" s="92"/>
      <c r="B342" s="89"/>
      <c r="C342" s="89"/>
      <c r="E342" s="7">
        <f>0.4*F319/F319</f>
        <v>0.4</v>
      </c>
      <c r="F342" s="75">
        <f t="shared" si="6"/>
        <v>0.23923444976076558</v>
      </c>
      <c r="G342" s="75">
        <f t="shared" si="5"/>
        <v>0.3129936356768389</v>
      </c>
    </row>
    <row r="343" spans="1:7" ht="12.75">
      <c r="A343" s="92"/>
      <c r="B343" s="89"/>
      <c r="C343" s="89"/>
      <c r="E343" s="7">
        <f>0.5*F319/F319</f>
        <v>0.5</v>
      </c>
      <c r="F343" s="75">
        <f t="shared" si="6"/>
        <v>0.23923444976076558</v>
      </c>
      <c r="G343" s="75">
        <f t="shared" si="5"/>
        <v>0.23251656456891448</v>
      </c>
    </row>
    <row r="344" spans="1:7" ht="12.75">
      <c r="A344" s="92"/>
      <c r="B344" s="89"/>
      <c r="C344" s="89"/>
      <c r="E344" s="7">
        <f>0.6*F319/F319</f>
        <v>0.6</v>
      </c>
      <c r="F344" s="75">
        <f t="shared" si="6"/>
        <v>0.23923444976076558</v>
      </c>
      <c r="G344" s="75">
        <f t="shared" si="5"/>
        <v>0.16411864738266657</v>
      </c>
    </row>
    <row r="345" spans="1:12" ht="12.75">
      <c r="A345" s="92"/>
      <c r="B345" s="89"/>
      <c r="C345" s="89"/>
      <c r="E345" s="7">
        <f>0.7*F319/F319</f>
        <v>0.7</v>
      </c>
      <c r="F345" s="81">
        <f t="shared" si="6"/>
        <v>0.23923444976076558</v>
      </c>
      <c r="G345" s="75">
        <f t="shared" si="5"/>
        <v>0.1143724618204539</v>
      </c>
      <c r="L345" s="14"/>
    </row>
    <row r="346" spans="1:12" ht="12.75">
      <c r="A346" s="92"/>
      <c r="B346" s="89"/>
      <c r="C346" s="89"/>
      <c r="E346" s="7">
        <f>0.8*F319/F319</f>
        <v>0.8</v>
      </c>
      <c r="F346" s="75">
        <f t="shared" si="6"/>
        <v>0.23923444976076558</v>
      </c>
      <c r="G346" s="75">
        <f t="shared" si="5"/>
        <v>0.08012637073327075</v>
      </c>
      <c r="L346" s="14"/>
    </row>
    <row r="347" spans="1:12" ht="12.75">
      <c r="A347" s="92"/>
      <c r="B347" s="89"/>
      <c r="C347" s="89"/>
      <c r="E347" s="7">
        <f>0.9*F319/F319</f>
        <v>0.9</v>
      </c>
      <c r="F347" s="75">
        <f t="shared" si="6"/>
        <v>0.23923444976076558</v>
      </c>
      <c r="G347" s="75">
        <f t="shared" si="5"/>
        <v>0.056889913731598775</v>
      </c>
      <c r="L347" s="14"/>
    </row>
    <row r="348" spans="1:12" ht="12.75">
      <c r="A348" s="92"/>
      <c r="B348" s="89"/>
      <c r="C348" s="89"/>
      <c r="E348" s="7">
        <f>F319/F319</f>
        <v>1</v>
      </c>
      <c r="F348" s="75">
        <f t="shared" si="6"/>
        <v>0.23923444976076558</v>
      </c>
      <c r="G348" s="75">
        <f t="shared" si="5"/>
        <v>0.04106685941063122</v>
      </c>
      <c r="L348" s="14"/>
    </row>
    <row r="349" spans="1:12" ht="12.75">
      <c r="A349" s="92"/>
      <c r="B349" s="89"/>
      <c r="C349" s="89"/>
      <c r="L349" s="14"/>
    </row>
    <row r="350" spans="1:12" ht="12.75">
      <c r="A350" s="92"/>
      <c r="B350" s="89"/>
      <c r="C350" s="89"/>
      <c r="L350" s="14"/>
    </row>
    <row r="351" spans="1:12" ht="12.75">
      <c r="A351" s="92"/>
      <c r="B351" s="89"/>
      <c r="C351" s="89"/>
      <c r="E351" s="80" t="s">
        <v>209</v>
      </c>
      <c r="F351" s="75">
        <f>SUM(G338:G348)/11</f>
        <v>0.16566224234169324</v>
      </c>
      <c r="G351" s="76" t="s">
        <v>210</v>
      </c>
      <c r="L351" s="14"/>
    </row>
    <row r="352" spans="1:12" ht="12.75">
      <c r="A352" s="92"/>
      <c r="B352" s="89"/>
      <c r="C352" s="89"/>
      <c r="L352" s="14"/>
    </row>
    <row r="353" spans="1:12" ht="12.75">
      <c r="A353" s="92"/>
      <c r="B353" s="89"/>
      <c r="C353" s="89"/>
      <c r="E353" s="76" t="s">
        <v>212</v>
      </c>
      <c r="F353" s="1">
        <v>7.92</v>
      </c>
      <c r="G353" s="76" t="s">
        <v>107</v>
      </c>
      <c r="L353" s="14"/>
    </row>
    <row r="354" spans="1:12" ht="12.75">
      <c r="A354" s="15"/>
      <c r="B354" s="89"/>
      <c r="C354" s="89"/>
      <c r="L354" s="14"/>
    </row>
    <row r="355" spans="1:12" ht="12.75">
      <c r="A355" s="15"/>
      <c r="B355" s="89"/>
      <c r="C355" s="89"/>
      <c r="L355" s="14"/>
    </row>
    <row r="356" spans="1:12" ht="12.75">
      <c r="A356" s="15"/>
      <c r="B356" s="89"/>
      <c r="C356" s="89"/>
      <c r="L356" s="14"/>
    </row>
    <row r="357" spans="1:12" ht="12.75">
      <c r="A357" s="15"/>
      <c r="B357" s="89"/>
      <c r="C357" s="89"/>
      <c r="L357" s="14"/>
    </row>
    <row r="358" spans="1:12" ht="12.75">
      <c r="A358" s="15"/>
      <c r="B358" s="89"/>
      <c r="C358" s="89"/>
      <c r="L358" s="14"/>
    </row>
    <row r="359" spans="1:12" ht="12.75">
      <c r="A359" s="15"/>
      <c r="B359" s="89"/>
      <c r="C359" s="89"/>
      <c r="L359" s="14"/>
    </row>
    <row r="360" spans="1:12" ht="12.75">
      <c r="A360" s="15"/>
      <c r="B360" s="89"/>
      <c r="C360" s="89"/>
      <c r="I360" s="153"/>
      <c r="J360" s="154"/>
      <c r="K360" s="154"/>
      <c r="L360" s="14"/>
    </row>
    <row r="361" spans="1:12" ht="12.75">
      <c r="A361" s="15"/>
      <c r="B361" s="89"/>
      <c r="C361" s="89"/>
      <c r="L361" s="14"/>
    </row>
    <row r="362" spans="1:12" ht="12.75">
      <c r="A362" s="15"/>
      <c r="B362" s="89"/>
      <c r="C362" s="89"/>
      <c r="L362" s="14"/>
    </row>
    <row r="363" spans="1:12" ht="12.75">
      <c r="A363" s="102" t="s">
        <v>7</v>
      </c>
      <c r="B363" s="103"/>
      <c r="C363" s="103"/>
      <c r="D363" s="103" t="s">
        <v>10</v>
      </c>
      <c r="E363" s="103"/>
      <c r="F363" s="103"/>
      <c r="G363" s="103"/>
      <c r="H363" s="103"/>
      <c r="I363" s="103" t="s">
        <v>11</v>
      </c>
      <c r="J363" s="103"/>
      <c r="K363" s="103"/>
      <c r="L363" s="109"/>
    </row>
    <row r="364" spans="1:12" ht="12.75">
      <c r="A364" s="102"/>
      <c r="B364" s="103"/>
      <c r="C364" s="103"/>
      <c r="D364" s="103"/>
      <c r="E364" s="103"/>
      <c r="F364" s="103"/>
      <c r="G364" s="103"/>
      <c r="H364" s="103"/>
      <c r="I364" s="103" t="s">
        <v>12</v>
      </c>
      <c r="J364" s="103"/>
      <c r="K364" s="103"/>
      <c r="L364" s="109"/>
    </row>
    <row r="365" spans="1:12" ht="15.75" customHeight="1">
      <c r="A365" s="102" t="s">
        <v>8</v>
      </c>
      <c r="B365" s="103"/>
      <c r="C365" s="103"/>
      <c r="D365" s="22"/>
      <c r="E365" s="22"/>
      <c r="F365" s="22"/>
      <c r="G365" s="22"/>
      <c r="H365" s="22"/>
      <c r="I365" s="93"/>
      <c r="J365" s="94"/>
      <c r="K365" s="94"/>
      <c r="L365" s="95"/>
    </row>
    <row r="366" spans="1:12" ht="12.75">
      <c r="A366" s="102"/>
      <c r="B366" s="103"/>
      <c r="C366" s="103"/>
      <c r="D366" s="22"/>
      <c r="E366" s="22"/>
      <c r="F366" s="22"/>
      <c r="G366" s="22"/>
      <c r="H366" s="22"/>
      <c r="I366" s="103" t="s">
        <v>13</v>
      </c>
      <c r="J366" s="103"/>
      <c r="K366" s="103"/>
      <c r="L366" s="109"/>
    </row>
    <row r="367" spans="1:12" ht="13.5" thickBot="1">
      <c r="A367" s="157"/>
      <c r="B367" s="147"/>
      <c r="C367" s="147"/>
      <c r="D367" s="26"/>
      <c r="E367" s="26"/>
      <c r="F367" s="26"/>
      <c r="G367" s="26"/>
      <c r="H367" s="26"/>
      <c r="I367" s="147"/>
      <c r="J367" s="147"/>
      <c r="K367" s="147"/>
      <c r="L367" s="148"/>
    </row>
    <row r="368" spans="1:12" ht="31.5" customHeight="1">
      <c r="A368" s="155" t="s">
        <v>0</v>
      </c>
      <c r="B368" s="119"/>
      <c r="C368" s="119"/>
      <c r="D368" s="142" t="s">
        <v>4</v>
      </c>
      <c r="E368" s="143"/>
      <c r="F368" s="143"/>
      <c r="G368" s="143"/>
      <c r="H368" s="143"/>
      <c r="I368" s="143"/>
      <c r="J368" s="143"/>
      <c r="K368" s="143"/>
      <c r="L368" s="144"/>
    </row>
    <row r="369" spans="1:12" ht="25.5" customHeight="1">
      <c r="A369" s="156"/>
      <c r="B369" s="89"/>
      <c r="C369" s="89"/>
      <c r="L369" s="14"/>
    </row>
    <row r="370" spans="1:12" ht="33.75" customHeight="1">
      <c r="A370" s="156" t="s">
        <v>1</v>
      </c>
      <c r="B370" s="89"/>
      <c r="C370" s="89"/>
      <c r="L370" s="14"/>
    </row>
    <row r="371" spans="1:12" ht="23.25" customHeight="1">
      <c r="A371" s="156"/>
      <c r="B371" s="89"/>
      <c r="C371" s="89"/>
      <c r="E371" s="159"/>
      <c r="F371" s="159"/>
      <c r="G371" s="159"/>
      <c r="H371" s="159"/>
      <c r="I371" s="159"/>
      <c r="J371" s="159"/>
      <c r="K371" s="159"/>
      <c r="L371" s="14"/>
    </row>
    <row r="372" spans="1:12" ht="29.25" customHeight="1">
      <c r="A372" s="156" t="s">
        <v>2</v>
      </c>
      <c r="B372" s="89"/>
      <c r="C372" s="89"/>
      <c r="L372" s="14"/>
    </row>
    <row r="373" spans="1:12" ht="30" customHeight="1">
      <c r="A373" s="156"/>
      <c r="B373" s="89"/>
      <c r="C373" s="89"/>
      <c r="L373" s="14"/>
    </row>
    <row r="374" spans="1:12" ht="12.75">
      <c r="A374" s="118" t="str">
        <f>A7</f>
        <v>                 Description</v>
      </c>
      <c r="B374" s="91" t="str">
        <f>B7</f>
        <v>  Calculation of pier Foundation</v>
      </c>
      <c r="C374" s="91"/>
      <c r="L374" s="14"/>
    </row>
    <row r="375" spans="1:12" ht="12.75">
      <c r="A375" s="118"/>
      <c r="B375" s="91"/>
      <c r="C375" s="91"/>
      <c r="L375" s="14"/>
    </row>
    <row r="376" spans="1:12" ht="12.75">
      <c r="A376" s="118"/>
      <c r="B376" s="91"/>
      <c r="C376" s="91"/>
      <c r="L376" s="14"/>
    </row>
    <row r="377" spans="1:12" ht="12.75">
      <c r="A377" s="118"/>
      <c r="B377" s="91"/>
      <c r="C377" s="91"/>
      <c r="L377" s="14"/>
    </row>
    <row r="378" spans="1:12" ht="12.75">
      <c r="A378" s="118"/>
      <c r="B378" s="91"/>
      <c r="C378" s="91"/>
      <c r="L378" s="14"/>
    </row>
    <row r="379" spans="1:12" ht="12.75">
      <c r="A379" s="118"/>
      <c r="B379" s="91"/>
      <c r="C379" s="91"/>
      <c r="L379" s="14"/>
    </row>
    <row r="380" spans="1:12" ht="12.75">
      <c r="A380" s="118"/>
      <c r="B380" s="91"/>
      <c r="C380" s="91"/>
      <c r="L380" s="14"/>
    </row>
    <row r="381" spans="1:12" ht="12.75">
      <c r="A381" s="118"/>
      <c r="B381" s="91"/>
      <c r="C381" s="91"/>
      <c r="L381" s="14"/>
    </row>
    <row r="382" spans="1:12" ht="12.75">
      <c r="A382" s="118"/>
      <c r="B382" s="91"/>
      <c r="C382" s="91"/>
      <c r="L382" s="14"/>
    </row>
    <row r="383" spans="1:12" ht="12.75">
      <c r="A383" s="118"/>
      <c r="B383" s="91"/>
      <c r="C383" s="91"/>
      <c r="L383" s="14"/>
    </row>
    <row r="384" spans="1:12" ht="12.75">
      <c r="A384" s="118"/>
      <c r="B384" s="91"/>
      <c r="C384" s="91"/>
      <c r="L384" s="14"/>
    </row>
    <row r="385" spans="1:12" ht="12.75">
      <c r="A385" s="118"/>
      <c r="B385" s="91"/>
      <c r="C385" s="91"/>
      <c r="L385" s="14"/>
    </row>
    <row r="386" spans="1:12" ht="12.75">
      <c r="A386" s="15" t="s">
        <v>5</v>
      </c>
      <c r="B386" s="89" t="s">
        <v>6</v>
      </c>
      <c r="C386" s="89"/>
      <c r="L386" s="14"/>
    </row>
    <row r="387" spans="1:12" ht="12.75">
      <c r="A387" s="15"/>
      <c r="B387" s="89"/>
      <c r="C387" s="89"/>
      <c r="L387" s="14"/>
    </row>
    <row r="388" spans="1:12" ht="12.75">
      <c r="A388" s="15"/>
      <c r="B388" s="89"/>
      <c r="C388" s="89"/>
      <c r="L388" s="14"/>
    </row>
    <row r="389" spans="1:12" ht="12.75">
      <c r="A389" s="15"/>
      <c r="B389" s="89"/>
      <c r="C389" s="89"/>
      <c r="L389" s="14"/>
    </row>
    <row r="390" spans="1:12" ht="12.75">
      <c r="A390" s="15"/>
      <c r="B390" s="89"/>
      <c r="C390" s="89"/>
      <c r="L390" s="14"/>
    </row>
    <row r="391" spans="1:12" ht="12.75">
      <c r="A391" s="15"/>
      <c r="B391" s="89"/>
      <c r="C391" s="89"/>
      <c r="L391" s="14"/>
    </row>
    <row r="392" spans="1:12" ht="12.75">
      <c r="A392" s="15"/>
      <c r="B392" s="1"/>
      <c r="C392" s="1"/>
      <c r="L392" s="14"/>
    </row>
    <row r="393" spans="1:12" ht="12.75">
      <c r="A393" s="15"/>
      <c r="B393" s="1"/>
      <c r="C393" s="1"/>
      <c r="L393" s="14"/>
    </row>
    <row r="394" spans="1:12" ht="12.75">
      <c r="A394" s="15"/>
      <c r="B394" s="1"/>
      <c r="C394" s="1"/>
      <c r="L394" s="14"/>
    </row>
    <row r="395" spans="1:12" ht="12.75">
      <c r="A395" s="15"/>
      <c r="B395" s="1"/>
      <c r="C395" s="1"/>
      <c r="L395" s="14"/>
    </row>
    <row r="396" spans="1:12" ht="12.75">
      <c r="A396" s="15"/>
      <c r="B396" s="1"/>
      <c r="C396" s="1"/>
      <c r="L396" s="14"/>
    </row>
    <row r="397" spans="1:12" ht="12.75">
      <c r="A397" s="15"/>
      <c r="B397" s="1"/>
      <c r="C397" s="1"/>
      <c r="L397" s="14"/>
    </row>
    <row r="398" spans="1:12" ht="12.75">
      <c r="A398" s="15"/>
      <c r="B398" s="1"/>
      <c r="C398" s="1"/>
      <c r="L398" s="14"/>
    </row>
    <row r="399" spans="1:12" ht="12.75">
      <c r="A399" s="15"/>
      <c r="B399" s="1"/>
      <c r="C399" s="1"/>
      <c r="L399" s="14"/>
    </row>
    <row r="400" spans="1:12" ht="12.75">
      <c r="A400" s="15"/>
      <c r="B400" s="1"/>
      <c r="C400" s="1"/>
      <c r="L400" s="14"/>
    </row>
    <row r="401" spans="1:12" ht="12.75">
      <c r="A401" s="15"/>
      <c r="B401" s="1"/>
      <c r="C401" s="1"/>
      <c r="L401" s="14"/>
    </row>
    <row r="402" spans="1:12" ht="12.75">
      <c r="A402" s="15"/>
      <c r="B402" s="1"/>
      <c r="C402" s="1"/>
      <c r="L402" s="14"/>
    </row>
    <row r="403" spans="1:12" ht="12.75">
      <c r="A403" s="92"/>
      <c r="B403" s="89"/>
      <c r="C403" s="89"/>
      <c r="L403" s="14"/>
    </row>
    <row r="404" spans="1:12" ht="12.75">
      <c r="A404" s="92"/>
      <c r="B404" s="89"/>
      <c r="C404" s="89"/>
      <c r="L404" s="14"/>
    </row>
    <row r="405" spans="1:12" ht="12.75">
      <c r="A405" s="92"/>
      <c r="B405" s="89"/>
      <c r="C405" s="89"/>
      <c r="L405" s="14"/>
    </row>
    <row r="406" spans="1:12" ht="12.75">
      <c r="A406" s="92"/>
      <c r="B406" s="89"/>
      <c r="C406" s="89"/>
      <c r="L406" s="14"/>
    </row>
    <row r="407" spans="1:12" ht="12.75">
      <c r="A407" s="92"/>
      <c r="B407" s="89"/>
      <c r="C407" s="89"/>
      <c r="L407" s="14"/>
    </row>
    <row r="408" spans="1:12" ht="12.75">
      <c r="A408" s="92"/>
      <c r="B408" s="89"/>
      <c r="C408" s="89"/>
      <c r="L408" s="14"/>
    </row>
    <row r="409" spans="1:12" ht="12.75">
      <c r="A409" s="92"/>
      <c r="B409" s="89"/>
      <c r="C409" s="89"/>
      <c r="L409" s="14"/>
    </row>
    <row r="410" spans="1:12" ht="12.75">
      <c r="A410" s="92"/>
      <c r="B410" s="89"/>
      <c r="C410" s="89"/>
      <c r="L410" s="14"/>
    </row>
    <row r="411" spans="1:12" ht="12.75">
      <c r="A411" s="92"/>
      <c r="B411" s="89"/>
      <c r="C411" s="89"/>
      <c r="L411" s="14"/>
    </row>
    <row r="412" spans="1:12" ht="12.75">
      <c r="A412" s="92"/>
      <c r="B412" s="89"/>
      <c r="C412" s="89"/>
      <c r="L412" s="14"/>
    </row>
    <row r="413" spans="1:12" ht="12.75">
      <c r="A413" s="92"/>
      <c r="B413" s="89"/>
      <c r="C413" s="89"/>
      <c r="L413" s="14"/>
    </row>
    <row r="414" spans="1:12" ht="12.75">
      <c r="A414" s="92"/>
      <c r="B414" s="89"/>
      <c r="C414" s="89"/>
      <c r="L414" s="14"/>
    </row>
    <row r="415" spans="1:12" ht="12.75">
      <c r="A415" s="92"/>
      <c r="B415" s="89"/>
      <c r="C415" s="89"/>
      <c r="L415" s="14"/>
    </row>
    <row r="416" spans="1:12" ht="12.75">
      <c r="A416" s="92"/>
      <c r="B416" s="89"/>
      <c r="C416" s="89"/>
      <c r="L416" s="14"/>
    </row>
    <row r="417" spans="1:12" ht="12.75">
      <c r="A417" s="92"/>
      <c r="B417" s="89"/>
      <c r="C417" s="89"/>
      <c r="L417" s="14"/>
    </row>
    <row r="418" spans="1:12" ht="12.75">
      <c r="A418" s="92"/>
      <c r="B418" s="89"/>
      <c r="C418" s="89"/>
      <c r="L418" s="14"/>
    </row>
    <row r="419" spans="1:12" ht="12.75">
      <c r="A419" s="92"/>
      <c r="B419" s="89"/>
      <c r="C419" s="89"/>
      <c r="L419" s="14"/>
    </row>
    <row r="420" spans="1:12" ht="12.75">
      <c r="A420" s="15"/>
      <c r="B420" s="1"/>
      <c r="C420" s="1"/>
      <c r="L420" s="14"/>
    </row>
    <row r="421" spans="1:12" ht="12.75">
      <c r="A421" s="15"/>
      <c r="B421" s="1"/>
      <c r="C421" s="1"/>
      <c r="L421" s="14"/>
    </row>
    <row r="422" spans="1:12" ht="12.75">
      <c r="A422" s="15"/>
      <c r="B422" s="1"/>
      <c r="C422" s="1"/>
      <c r="L422" s="14"/>
    </row>
    <row r="423" spans="1:12" ht="12.75">
      <c r="A423" s="15"/>
      <c r="B423" s="1"/>
      <c r="C423" s="1"/>
      <c r="L423" s="14"/>
    </row>
    <row r="424" spans="1:12" ht="12.75">
      <c r="A424" s="102" t="s">
        <v>7</v>
      </c>
      <c r="B424" s="103"/>
      <c r="C424" s="103"/>
      <c r="D424" s="103" t="s">
        <v>10</v>
      </c>
      <c r="E424" s="103"/>
      <c r="F424" s="103"/>
      <c r="G424" s="103"/>
      <c r="H424" s="103"/>
      <c r="I424" s="103" t="s">
        <v>11</v>
      </c>
      <c r="J424" s="103"/>
      <c r="K424" s="103"/>
      <c r="L424" s="109"/>
    </row>
    <row r="425" spans="1:12" ht="12.75">
      <c r="A425" s="102"/>
      <c r="B425" s="103"/>
      <c r="C425" s="103"/>
      <c r="D425" s="103"/>
      <c r="E425" s="103"/>
      <c r="F425" s="103"/>
      <c r="G425" s="103"/>
      <c r="H425" s="103"/>
      <c r="I425" s="103" t="s">
        <v>12</v>
      </c>
      <c r="J425" s="103"/>
      <c r="K425" s="103"/>
      <c r="L425" s="109"/>
    </row>
    <row r="426" spans="1:12" ht="19.5" customHeight="1">
      <c r="A426" s="102" t="s">
        <v>8</v>
      </c>
      <c r="B426" s="103"/>
      <c r="C426" s="93"/>
      <c r="D426" s="22"/>
      <c r="E426" s="22"/>
      <c r="F426" s="22"/>
      <c r="G426" s="22"/>
      <c r="H426" s="22"/>
      <c r="I426" s="12"/>
      <c r="J426" s="12"/>
      <c r="K426" s="12"/>
      <c r="L426" s="23"/>
    </row>
    <row r="427" spans="1:12" ht="18" customHeight="1">
      <c r="A427" s="102"/>
      <c r="B427" s="103"/>
      <c r="C427" s="93"/>
      <c r="D427" s="22"/>
      <c r="E427" s="22"/>
      <c r="F427" s="22"/>
      <c r="G427" s="22"/>
      <c r="H427" s="22"/>
      <c r="I427" s="132" t="s">
        <v>13</v>
      </c>
      <c r="J427" s="103"/>
      <c r="K427" s="103"/>
      <c r="L427" s="109"/>
    </row>
    <row r="428" spans="1:12" ht="20.25" customHeight="1" thickBot="1">
      <c r="A428" s="99"/>
      <c r="B428" s="100"/>
      <c r="C428" s="100"/>
      <c r="D428" s="26"/>
      <c r="E428" s="26"/>
      <c r="F428" s="26"/>
      <c r="G428" s="26"/>
      <c r="H428" s="26"/>
      <c r="I428" s="101"/>
      <c r="J428" s="147"/>
      <c r="K428" s="147"/>
      <c r="L428" s="148"/>
    </row>
  </sheetData>
  <sheetProtection selectLockedCells="1"/>
  <mergeCells count="232">
    <mergeCell ref="I428:L428"/>
    <mergeCell ref="A428:C428"/>
    <mergeCell ref="B328:C328"/>
    <mergeCell ref="E310:K310"/>
    <mergeCell ref="E371:K371"/>
    <mergeCell ref="B330:C330"/>
    <mergeCell ref="A331:C353"/>
    <mergeCell ref="A425:C425"/>
    <mergeCell ref="D425:H425"/>
    <mergeCell ref="I425:L425"/>
    <mergeCell ref="A426:C426"/>
    <mergeCell ref="A427:C427"/>
    <mergeCell ref="I427:L427"/>
    <mergeCell ref="B389:C389"/>
    <mergeCell ref="B390:C390"/>
    <mergeCell ref="B391:C391"/>
    <mergeCell ref="A424:C424"/>
    <mergeCell ref="D424:H424"/>
    <mergeCell ref="I424:L424"/>
    <mergeCell ref="A403:C419"/>
    <mergeCell ref="A374:A385"/>
    <mergeCell ref="B374:B385"/>
    <mergeCell ref="C374:C385"/>
    <mergeCell ref="B386:C386"/>
    <mergeCell ref="B387:C387"/>
    <mergeCell ref="B388:C388"/>
    <mergeCell ref="A370:A371"/>
    <mergeCell ref="B370:B371"/>
    <mergeCell ref="C370:C371"/>
    <mergeCell ref="A372:A373"/>
    <mergeCell ref="B372:B373"/>
    <mergeCell ref="C372:C373"/>
    <mergeCell ref="A365:C365"/>
    <mergeCell ref="I365:L365"/>
    <mergeCell ref="A366:C366"/>
    <mergeCell ref="I366:L366"/>
    <mergeCell ref="I367:L367"/>
    <mergeCell ref="A368:A369"/>
    <mergeCell ref="B368:B369"/>
    <mergeCell ref="C368:C369"/>
    <mergeCell ref="D368:L368"/>
    <mergeCell ref="A367:C367"/>
    <mergeCell ref="A363:C363"/>
    <mergeCell ref="D363:H363"/>
    <mergeCell ref="I363:L363"/>
    <mergeCell ref="I360:K360"/>
    <mergeCell ref="A364:C364"/>
    <mergeCell ref="D364:H364"/>
    <mergeCell ref="I364:L364"/>
    <mergeCell ref="B361:C361"/>
    <mergeCell ref="B362:C362"/>
    <mergeCell ref="A311:A312"/>
    <mergeCell ref="B311:B312"/>
    <mergeCell ref="C311:C312"/>
    <mergeCell ref="B329:C329"/>
    <mergeCell ref="A313:A324"/>
    <mergeCell ref="B313:B324"/>
    <mergeCell ref="C313:C324"/>
    <mergeCell ref="B325:C325"/>
    <mergeCell ref="B326:C326"/>
    <mergeCell ref="B327:C327"/>
    <mergeCell ref="A307:A308"/>
    <mergeCell ref="B307:B308"/>
    <mergeCell ref="C307:C308"/>
    <mergeCell ref="D307:L307"/>
    <mergeCell ref="I306:L306"/>
    <mergeCell ref="A309:A310"/>
    <mergeCell ref="B309:B310"/>
    <mergeCell ref="C309:C310"/>
    <mergeCell ref="I302:L302"/>
    <mergeCell ref="A303:C303"/>
    <mergeCell ref="D303:H303"/>
    <mergeCell ref="I303:L303"/>
    <mergeCell ref="A304:C304"/>
    <mergeCell ref="A305:C305"/>
    <mergeCell ref="I305:L305"/>
    <mergeCell ref="B266:C266"/>
    <mergeCell ref="B267:C267"/>
    <mergeCell ref="B268:C268"/>
    <mergeCell ref="B269:C269"/>
    <mergeCell ref="A302:C302"/>
    <mergeCell ref="D302:H302"/>
    <mergeCell ref="A249:A263"/>
    <mergeCell ref="B249:B263"/>
    <mergeCell ref="C249:C263"/>
    <mergeCell ref="E247:K247"/>
    <mergeCell ref="B264:C264"/>
    <mergeCell ref="B265:C265"/>
    <mergeCell ref="A242:C242"/>
    <mergeCell ref="A243:C243"/>
    <mergeCell ref="I243:L243"/>
    <mergeCell ref="I244:L244"/>
    <mergeCell ref="A245:A246"/>
    <mergeCell ref="B245:B246"/>
    <mergeCell ref="C245:C246"/>
    <mergeCell ref="D245:L245"/>
    <mergeCell ref="A240:C240"/>
    <mergeCell ref="D240:H240"/>
    <mergeCell ref="I240:L240"/>
    <mergeCell ref="A241:C241"/>
    <mergeCell ref="D241:H241"/>
    <mergeCell ref="I241:L241"/>
    <mergeCell ref="B202:C202"/>
    <mergeCell ref="B203:C203"/>
    <mergeCell ref="B204:C204"/>
    <mergeCell ref="B205:C205"/>
    <mergeCell ref="B206:C206"/>
    <mergeCell ref="B207:C207"/>
    <mergeCell ref="A188:A189"/>
    <mergeCell ref="B188:B189"/>
    <mergeCell ref="C188:C189"/>
    <mergeCell ref="A190:A201"/>
    <mergeCell ref="B190:B201"/>
    <mergeCell ref="C190:C201"/>
    <mergeCell ref="A184:A185"/>
    <mergeCell ref="B184:B185"/>
    <mergeCell ref="C184:C185"/>
    <mergeCell ref="D184:L184"/>
    <mergeCell ref="I183:L183"/>
    <mergeCell ref="A186:A187"/>
    <mergeCell ref="B186:B187"/>
    <mergeCell ref="C186:C187"/>
    <mergeCell ref="I179:L179"/>
    <mergeCell ref="A180:C180"/>
    <mergeCell ref="D180:H180"/>
    <mergeCell ref="I180:L180"/>
    <mergeCell ref="A181:C181"/>
    <mergeCell ref="A182:C182"/>
    <mergeCell ref="I182:L182"/>
    <mergeCell ref="B143:C143"/>
    <mergeCell ref="B144:C144"/>
    <mergeCell ref="B145:C145"/>
    <mergeCell ref="B146:C146"/>
    <mergeCell ref="A179:C179"/>
    <mergeCell ref="D179:H179"/>
    <mergeCell ref="A129:A140"/>
    <mergeCell ref="B129:B140"/>
    <mergeCell ref="C129:C140"/>
    <mergeCell ref="A125:A126"/>
    <mergeCell ref="B141:C141"/>
    <mergeCell ref="B142:C142"/>
    <mergeCell ref="A119:C119"/>
    <mergeCell ref="A121:C121"/>
    <mergeCell ref="I121:L121"/>
    <mergeCell ref="B125:B126"/>
    <mergeCell ref="C125:C126"/>
    <mergeCell ref="A127:A128"/>
    <mergeCell ref="B127:B128"/>
    <mergeCell ref="C127:C128"/>
    <mergeCell ref="B85:C85"/>
    <mergeCell ref="A118:C118"/>
    <mergeCell ref="D118:H118"/>
    <mergeCell ref="I118:L118"/>
    <mergeCell ref="B123:B124"/>
    <mergeCell ref="C123:C124"/>
    <mergeCell ref="D123:L123"/>
    <mergeCell ref="I122:L122"/>
    <mergeCell ref="D119:H119"/>
    <mergeCell ref="I119:L119"/>
    <mergeCell ref="I57:L57"/>
    <mergeCell ref="I60:L60"/>
    <mergeCell ref="A86:C109"/>
    <mergeCell ref="A62:A63"/>
    <mergeCell ref="B62:B63"/>
    <mergeCell ref="C62:C63"/>
    <mergeCell ref="D62:L62"/>
    <mergeCell ref="A68:A79"/>
    <mergeCell ref="C68:C79"/>
    <mergeCell ref="B80:C80"/>
    <mergeCell ref="B19:C19"/>
    <mergeCell ref="D1:L1"/>
    <mergeCell ref="A57:C57"/>
    <mergeCell ref="A58:C58"/>
    <mergeCell ref="D57:H57"/>
    <mergeCell ref="D58:H58"/>
    <mergeCell ref="B20:C20"/>
    <mergeCell ref="B21:C21"/>
    <mergeCell ref="B22:C22"/>
    <mergeCell ref="B23:C23"/>
    <mergeCell ref="A25:C45"/>
    <mergeCell ref="A64:A65"/>
    <mergeCell ref="B64:B65"/>
    <mergeCell ref="C64:C65"/>
    <mergeCell ref="B24:C24"/>
    <mergeCell ref="A61:C61"/>
    <mergeCell ref="A59:C59"/>
    <mergeCell ref="A7:A18"/>
    <mergeCell ref="B7:B18"/>
    <mergeCell ref="A1:A2"/>
    <mergeCell ref="B1:B2"/>
    <mergeCell ref="C1:C2"/>
    <mergeCell ref="A3:A4"/>
    <mergeCell ref="B3:B4"/>
    <mergeCell ref="C3:C4"/>
    <mergeCell ref="C7:C18"/>
    <mergeCell ref="E3:K3"/>
    <mergeCell ref="D4:L4"/>
    <mergeCell ref="D5:L5"/>
    <mergeCell ref="D6:L6"/>
    <mergeCell ref="A5:A6"/>
    <mergeCell ref="B5:B6"/>
    <mergeCell ref="C5:C6"/>
    <mergeCell ref="I61:L61"/>
    <mergeCell ref="I58:L58"/>
    <mergeCell ref="A60:C60"/>
    <mergeCell ref="F126:J126"/>
    <mergeCell ref="A217:C233"/>
    <mergeCell ref="E129:E130"/>
    <mergeCell ref="B81:C81"/>
    <mergeCell ref="B82:C82"/>
    <mergeCell ref="B83:C83"/>
    <mergeCell ref="B84:C84"/>
    <mergeCell ref="B358:C358"/>
    <mergeCell ref="B359:C359"/>
    <mergeCell ref="B360:C360"/>
    <mergeCell ref="I120:L120"/>
    <mergeCell ref="I181:L181"/>
    <mergeCell ref="A244:C244"/>
    <mergeCell ref="A306:C306"/>
    <mergeCell ref="A120:C120"/>
    <mergeCell ref="A123:A124"/>
    <mergeCell ref="D129:D130"/>
    <mergeCell ref="B354:C354"/>
    <mergeCell ref="B355:C355"/>
    <mergeCell ref="B356:C356"/>
    <mergeCell ref="B357:C357"/>
    <mergeCell ref="A66:A67"/>
    <mergeCell ref="B66:B67"/>
    <mergeCell ref="C66:C67"/>
    <mergeCell ref="B68:B79"/>
    <mergeCell ref="A279:C296"/>
    <mergeCell ref="A151:C166"/>
  </mergeCells>
  <printOptions horizontalCentered="1" verticalCentered="1"/>
  <pageMargins left="0.17" right="0" top="0.17" bottom="0" header="0.17" footer="0"/>
  <pageSetup blackAndWhite="1" cellComments="asDisplayed" fitToHeight="16" horizontalDpi="300" verticalDpi="300" orientation="portrait" paperSize="9" scale="80" r:id="rId6"/>
  <rowBreaks count="6" manualBreakCount="6">
    <brk id="61" max="11" man="1"/>
    <brk id="122" max="11" man="1"/>
    <brk id="183" max="11" man="1"/>
    <brk id="244" max="11" man="1"/>
    <brk id="306" max="11" man="1"/>
    <brk id="367" max="11" man="1"/>
  </rowBreaks>
  <drawing r:id="rId5"/>
  <legacyDrawing r:id="rId4"/>
  <oleObjects>
    <oleObject progId="Mathcad" shapeId="985770" r:id="rId2"/>
    <oleObject progId="Mathcad" shapeId="9894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Saudi Services for Electro mechanic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Engr. Hakim</dc:creator>
  <cp:keywords/>
  <dc:description/>
  <cp:lastModifiedBy>Manoj</cp:lastModifiedBy>
  <cp:lastPrinted>2008-11-14T19:21:14Z</cp:lastPrinted>
  <dcterms:created xsi:type="dcterms:W3CDTF">2006-08-27T13:39:50Z</dcterms:created>
  <dcterms:modified xsi:type="dcterms:W3CDTF">2017-01-13T12:53:11Z</dcterms:modified>
  <cp:category/>
  <cp:version/>
  <cp:contentType/>
  <cp:contentStatus/>
</cp:coreProperties>
</file>