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tabRatio="960" activeTab="1"/>
  </bookViews>
  <sheets>
    <sheet name="Intro" sheetId="1" r:id="rId1"/>
    <sheet name="Coeff" sheetId="2" r:id="rId2"/>
    <sheet name="Slabs" sheetId="3" r:id="rId3"/>
    <sheet name="Flat slab" sheetId="4" r:id="rId4"/>
    <sheet name="Beams" sheetId="5" r:id="rId5"/>
    <sheet name="M,N" sheetId="6" r:id="rId6"/>
    <sheet name="Shear" sheetId="7" r:id="rId7"/>
    <sheet name="Torsion" sheetId="8" r:id="rId8"/>
    <sheet name="Rec-col" sheetId="9" r:id="rId9"/>
    <sheet name="Cir-col" sheetId="10" r:id="rId10"/>
    <sheet name="Footings" sheetId="11" r:id="rId11"/>
    <sheet name="Foot-mom" sheetId="12" r:id="rId12"/>
    <sheet name="Combined" sheetId="13" r:id="rId13"/>
    <sheet name="Strap" sheetId="14" r:id="rId14"/>
    <sheet name="Walls" sheetId="15" r:id="rId15"/>
    <sheet name="Cantilevers" sheetId="16" r:id="rId16"/>
    <sheet name="Simples" sheetId="17" r:id="rId17"/>
  </sheets>
  <definedNames>
    <definedName name="_xlnm.Print_Area" localSheetId="12">'Combined'!$A$1:$I$50</definedName>
    <definedName name="_xlnm.Print_Area" localSheetId="10">'Footings'!$A$1:$I$38</definedName>
    <definedName name="_xlnm.Print_Area" localSheetId="11">'Foot-mom'!$A$1:$I$41</definedName>
    <definedName name="_xlnm.Print_Area" localSheetId="0">'Intro'!$A:$IV</definedName>
    <definedName name="_xlnm.Print_Area" localSheetId="5">'M,N'!$A$1:$O$46</definedName>
    <definedName name="_xlnm.Print_Area" localSheetId="6">'Shear'!$A$1:$M$46</definedName>
    <definedName name="_xlnm.Print_Area" localSheetId="13">'Strap'!$A$1:$P$49</definedName>
  </definedNames>
  <calcPr fullCalcOnLoad="1"/>
</workbook>
</file>

<file path=xl/sharedStrings.xml><?xml version="1.0" encoding="utf-8"?>
<sst xmlns="http://schemas.openxmlformats.org/spreadsheetml/2006/main" count="826" uniqueCount="251">
  <si>
    <t>C1</t>
  </si>
  <si>
    <t>J</t>
  </si>
  <si>
    <t>As</t>
  </si>
  <si>
    <t>b (cm)</t>
  </si>
  <si>
    <t>d (cm)</t>
  </si>
  <si>
    <t>f</t>
  </si>
  <si>
    <t>Breadth</t>
  </si>
  <si>
    <t>Depth</t>
  </si>
  <si>
    <r>
      <t>kg/cm</t>
    </r>
    <r>
      <rPr>
        <b/>
        <vertAlign val="superscript"/>
        <sz val="11"/>
        <rFont val="Arial"/>
        <family val="2"/>
      </rPr>
      <t>2</t>
    </r>
  </si>
  <si>
    <r>
      <t>Concrete F</t>
    </r>
    <r>
      <rPr>
        <b/>
        <vertAlign val="subscript"/>
        <sz val="11"/>
        <rFont val="Arial"/>
        <family val="2"/>
      </rPr>
      <t xml:space="preserve">cu </t>
    </r>
    <r>
      <rPr>
        <b/>
        <sz val="11"/>
        <rFont val="Arial"/>
        <family val="2"/>
      </rPr>
      <t>=</t>
    </r>
  </si>
  <si>
    <t>Sec.</t>
  </si>
  <si>
    <t>no. of</t>
  </si>
  <si>
    <t>Used</t>
  </si>
  <si>
    <t>Notes</t>
  </si>
  <si>
    <r>
      <t>Concrete q</t>
    </r>
    <r>
      <rPr>
        <b/>
        <vertAlign val="subscript"/>
        <sz val="11"/>
        <rFont val="Arial"/>
        <family val="2"/>
      </rPr>
      <t>all</t>
    </r>
    <r>
      <rPr>
        <b/>
        <sz val="11"/>
        <rFont val="Arial"/>
        <family val="2"/>
      </rPr>
      <t xml:space="preserve"> =</t>
    </r>
  </si>
  <si>
    <t>Ult. Shear</t>
  </si>
  <si>
    <t>S</t>
  </si>
  <si>
    <t>bran.</t>
  </si>
  <si>
    <t>* Design of Beams</t>
  </si>
  <si>
    <r>
      <t>Bearing capacity q</t>
    </r>
    <r>
      <rPr>
        <b/>
        <vertAlign val="subscript"/>
        <sz val="11"/>
        <rFont val="Arial"/>
        <family val="2"/>
      </rPr>
      <t>all</t>
    </r>
    <r>
      <rPr>
        <b/>
        <sz val="11"/>
        <rFont val="Arial"/>
        <family val="2"/>
      </rPr>
      <t xml:space="preserve"> =</t>
    </r>
  </si>
  <si>
    <t>F1</t>
  </si>
  <si>
    <t>foot</t>
  </si>
  <si>
    <t>column</t>
  </si>
  <si>
    <t>t (cm)</t>
  </si>
  <si>
    <t>Column working load</t>
  </si>
  <si>
    <t>extension</t>
  </si>
  <si>
    <t>of P.C (cm)</t>
  </si>
  <si>
    <t>B (cm)</t>
  </si>
  <si>
    <t>L (cm)</t>
  </si>
  <si>
    <t>As /m</t>
  </si>
  <si>
    <t>no.</t>
  </si>
  <si>
    <t>/m</t>
  </si>
  <si>
    <t>total no.</t>
  </si>
  <si>
    <t>* Project :</t>
  </si>
  <si>
    <r>
      <t>Concrete              F</t>
    </r>
    <r>
      <rPr>
        <b/>
        <vertAlign val="subscript"/>
        <sz val="11"/>
        <rFont val="Arial"/>
        <family val="2"/>
      </rPr>
      <t xml:space="preserve">cu </t>
    </r>
    <r>
      <rPr>
        <b/>
        <sz val="11"/>
        <rFont val="Arial"/>
        <family val="2"/>
      </rPr>
      <t>=</t>
    </r>
  </si>
  <si>
    <t>Dims. of P.C :</t>
  </si>
  <si>
    <t>Dims. of R.C :</t>
  </si>
  <si>
    <t>Calculation of Rft. :</t>
  </si>
  <si>
    <t>Long Rft. :</t>
  </si>
  <si>
    <t>Short Rft. :</t>
  </si>
  <si>
    <t>* Check shear in beams</t>
  </si>
  <si>
    <r>
      <t>N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(ton)</t>
    </r>
  </si>
  <si>
    <t>* Design of Slabs</t>
  </si>
  <si>
    <r>
      <t>Steel                     F</t>
    </r>
    <r>
      <rPr>
        <b/>
        <vertAlign val="subscript"/>
        <sz val="11"/>
        <rFont val="Arial"/>
        <family val="2"/>
      </rPr>
      <t xml:space="preserve">y   </t>
    </r>
    <r>
      <rPr>
        <b/>
        <sz val="11"/>
        <rFont val="Arial"/>
        <family val="2"/>
      </rPr>
      <t>=</t>
    </r>
  </si>
  <si>
    <r>
      <t>Steel        F</t>
    </r>
    <r>
      <rPr>
        <b/>
        <vertAlign val="subscript"/>
        <sz val="11"/>
        <rFont val="Arial"/>
        <family val="2"/>
      </rPr>
      <t xml:space="preserve">y   </t>
    </r>
    <r>
      <rPr>
        <b/>
        <sz val="11"/>
        <rFont val="Arial"/>
        <family val="2"/>
      </rPr>
      <t>=</t>
    </r>
  </si>
  <si>
    <t>by</t>
  </si>
  <si>
    <t>Eng. Mahmoud M. El-Kateb</t>
  </si>
  <si>
    <t>Structural Engineering Dept.</t>
  </si>
  <si>
    <t>Faculty of Engineering - Ain Shams University</t>
  </si>
  <si>
    <t>* Design of slabs</t>
  </si>
  <si>
    <t>* Design of beams</t>
  </si>
  <si>
    <t>* Design for Torsion</t>
  </si>
  <si>
    <r>
      <t>Horizontal bars F</t>
    </r>
    <r>
      <rPr>
        <b/>
        <vertAlign val="subscript"/>
        <sz val="11"/>
        <rFont val="Arial"/>
        <family val="2"/>
      </rPr>
      <t xml:space="preserve">y </t>
    </r>
    <r>
      <rPr>
        <b/>
        <sz val="11"/>
        <rFont val="Arial"/>
        <family val="2"/>
      </rPr>
      <t xml:space="preserve"> =</t>
    </r>
  </si>
  <si>
    <t>Ult. torsional moment</t>
  </si>
  <si>
    <r>
      <t>Concrete          q</t>
    </r>
    <r>
      <rPr>
        <b/>
        <vertAlign val="subscript"/>
        <sz val="11"/>
        <rFont val="Arial"/>
        <family val="2"/>
      </rPr>
      <t>all</t>
    </r>
    <r>
      <rPr>
        <b/>
        <sz val="11"/>
        <rFont val="Arial"/>
        <family val="2"/>
      </rPr>
      <t xml:space="preserve"> =</t>
    </r>
  </si>
  <si>
    <t>Due to shear</t>
  </si>
  <si>
    <t>Due to torsion</t>
  </si>
  <si>
    <r>
      <t>M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0"/>
      </rPr>
      <t xml:space="preserve"> (m.t)</t>
    </r>
  </si>
  <si>
    <r>
      <t>Q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0"/>
      </rPr>
      <t xml:space="preserve"> (ton)</t>
    </r>
  </si>
  <si>
    <t>Calculation of stirrups:</t>
  </si>
  <si>
    <t>Horizontal Rft.</t>
  </si>
  <si>
    <t>* Design for torsion</t>
  </si>
  <si>
    <t>* Deflection of Cantilevers</t>
  </si>
  <si>
    <t>* Deflection of cantilevers</t>
  </si>
  <si>
    <r>
      <t>Concrete   F</t>
    </r>
    <r>
      <rPr>
        <b/>
        <vertAlign val="subscript"/>
        <sz val="11"/>
        <rFont val="Arial"/>
        <family val="2"/>
      </rPr>
      <t xml:space="preserve">cu </t>
    </r>
    <r>
      <rPr>
        <b/>
        <sz val="11"/>
        <rFont val="Arial"/>
        <family val="2"/>
      </rPr>
      <t>=</t>
    </r>
  </si>
  <si>
    <r>
      <t>Steel          F</t>
    </r>
    <r>
      <rPr>
        <b/>
        <vertAlign val="subscript"/>
        <sz val="11"/>
        <rFont val="Arial"/>
        <family val="2"/>
      </rPr>
      <t xml:space="preserve">y   </t>
    </r>
    <r>
      <rPr>
        <b/>
        <sz val="11"/>
        <rFont val="Arial"/>
        <family val="2"/>
      </rPr>
      <t>=</t>
    </r>
  </si>
  <si>
    <t>L (m)</t>
  </si>
  <si>
    <t>area</t>
  </si>
  <si>
    <t>Properties of sec:</t>
  </si>
  <si>
    <t>Top Rft.:</t>
  </si>
  <si>
    <t>Bottom Rft.:</t>
  </si>
  <si>
    <r>
      <t>P</t>
    </r>
    <r>
      <rPr>
        <b/>
        <vertAlign val="subscript"/>
        <sz val="10"/>
        <rFont val="Arial"/>
        <family val="2"/>
      </rPr>
      <t>DL</t>
    </r>
    <r>
      <rPr>
        <b/>
        <sz val="10"/>
        <rFont val="Arial"/>
        <family val="2"/>
      </rPr>
      <t xml:space="preserve"> (t)</t>
    </r>
  </si>
  <si>
    <r>
      <t>P</t>
    </r>
    <r>
      <rPr>
        <b/>
        <vertAlign val="subscript"/>
        <sz val="10"/>
        <rFont val="Arial"/>
        <family val="2"/>
      </rPr>
      <t>LL</t>
    </r>
    <r>
      <rPr>
        <b/>
        <sz val="10"/>
        <rFont val="Arial"/>
        <family val="2"/>
      </rPr>
      <t xml:space="preserve"> (t)</t>
    </r>
  </si>
  <si>
    <r>
      <t>W</t>
    </r>
    <r>
      <rPr>
        <b/>
        <vertAlign val="subscript"/>
        <sz val="10"/>
        <rFont val="Arial"/>
        <family val="2"/>
      </rPr>
      <t>DL</t>
    </r>
    <r>
      <rPr>
        <b/>
        <sz val="10"/>
        <rFont val="Arial"/>
        <family val="2"/>
      </rPr>
      <t xml:space="preserve"> (t/m)</t>
    </r>
  </si>
  <si>
    <r>
      <t>W</t>
    </r>
    <r>
      <rPr>
        <b/>
        <vertAlign val="subscript"/>
        <sz val="10"/>
        <rFont val="Arial"/>
        <family val="2"/>
      </rPr>
      <t>LL</t>
    </r>
    <r>
      <rPr>
        <b/>
        <sz val="10"/>
        <rFont val="Arial"/>
        <family val="2"/>
      </rPr>
      <t xml:space="preserve"> (t/m)</t>
    </r>
  </si>
  <si>
    <t>Working loads:</t>
  </si>
  <si>
    <t>Initial deflection:</t>
  </si>
  <si>
    <t>Allowable value:</t>
  </si>
  <si>
    <t>cm</t>
  </si>
  <si>
    <t>* Deflection of Simples</t>
  </si>
  <si>
    <t>* Deflection of simples</t>
  </si>
  <si>
    <r>
      <t>Stirrups   F</t>
    </r>
    <r>
      <rPr>
        <b/>
        <vertAlign val="subscript"/>
        <sz val="11"/>
        <rFont val="Arial"/>
        <family val="2"/>
      </rPr>
      <t xml:space="preserve">y   </t>
    </r>
    <r>
      <rPr>
        <b/>
        <sz val="11"/>
        <rFont val="Arial"/>
        <family val="2"/>
      </rPr>
      <t>=</t>
    </r>
  </si>
  <si>
    <r>
      <t>Stirrups             F</t>
    </r>
    <r>
      <rPr>
        <b/>
        <vertAlign val="subscript"/>
        <sz val="11"/>
        <rFont val="Arial"/>
        <family val="2"/>
      </rPr>
      <t xml:space="preserve">y   </t>
    </r>
    <r>
      <rPr>
        <b/>
        <sz val="11"/>
        <rFont val="Arial"/>
        <family val="2"/>
      </rPr>
      <t>=</t>
    </r>
  </si>
  <si>
    <r>
      <t>Concrete          F</t>
    </r>
    <r>
      <rPr>
        <b/>
        <vertAlign val="subscript"/>
        <sz val="11"/>
        <rFont val="Arial"/>
        <family val="2"/>
      </rPr>
      <t xml:space="preserve">cu </t>
    </r>
    <r>
      <rPr>
        <b/>
        <sz val="11"/>
        <rFont val="Arial"/>
        <family val="2"/>
      </rPr>
      <t>=</t>
    </r>
  </si>
  <si>
    <t>Ult. Load</t>
  </si>
  <si>
    <r>
      <t>N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0"/>
      </rPr>
      <t xml:space="preserve"> (ton)</t>
    </r>
  </si>
  <si>
    <t>desired</t>
  </si>
  <si>
    <t>m %</t>
  </si>
  <si>
    <t>Col.</t>
  </si>
  <si>
    <r>
      <t>M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(m.t)</t>
    </r>
  </si>
  <si>
    <r>
      <t>Q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(ton)</t>
    </r>
  </si>
  <si>
    <t>Ult. Moment</t>
  </si>
  <si>
    <t>Ult. shear force</t>
  </si>
  <si>
    <t>Thickness</t>
  </si>
  <si>
    <t>Span</t>
  </si>
  <si>
    <t>After long term:</t>
  </si>
  <si>
    <t>Notes:</t>
  </si>
  <si>
    <t>* Calculation of coefficients</t>
  </si>
  <si>
    <t>* Calculation of Coeffecients</t>
  </si>
  <si>
    <t>Area</t>
  </si>
  <si>
    <t>Long span</t>
  </si>
  <si>
    <t>Slabs:</t>
  </si>
  <si>
    <t>Long</t>
  </si>
  <si>
    <t>Span (m)</t>
  </si>
  <si>
    <t>Short</t>
  </si>
  <si>
    <t>Marcus</t>
  </si>
  <si>
    <t>Code of practice</t>
  </si>
  <si>
    <t>Short span</t>
  </si>
  <si>
    <t>a</t>
  </si>
  <si>
    <t>b</t>
  </si>
  <si>
    <t>Grashoff</t>
  </si>
  <si>
    <t>contin.</t>
  </si>
  <si>
    <t>Beams:</t>
  </si>
  <si>
    <t>span (m)</t>
  </si>
  <si>
    <t>Load on</t>
  </si>
  <si>
    <r>
      <t>slab (t/m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)</t>
    </r>
  </si>
  <si>
    <t>Load coeff.</t>
  </si>
  <si>
    <t>shear</t>
  </si>
  <si>
    <t>moment</t>
  </si>
  <si>
    <t>shear (t/m`)</t>
  </si>
  <si>
    <t>moment (t/m`)</t>
  </si>
  <si>
    <t>Load distribution for</t>
  </si>
  <si>
    <t>* Design of Combined footings</t>
  </si>
  <si>
    <t>Col</t>
  </si>
  <si>
    <t>Distance from c.g to c.g:</t>
  </si>
  <si>
    <t>m</t>
  </si>
  <si>
    <t>minimum</t>
  </si>
  <si>
    <t>Longitudinal direction:</t>
  </si>
  <si>
    <t>Top Rft. :</t>
  </si>
  <si>
    <t>Bottom Rft. :</t>
  </si>
  <si>
    <t>Transverse direction:</t>
  </si>
  <si>
    <t>* Design of isolated footings</t>
  </si>
  <si>
    <t>* Design of combined footings</t>
  </si>
  <si>
    <t>* Design of Isolated footings</t>
  </si>
  <si>
    <r>
      <t>Reinforced Concrete Design</t>
    </r>
    <r>
      <rPr>
        <b/>
        <i/>
        <vertAlign val="superscript"/>
        <sz val="26"/>
        <rFont val="Times New Roman"/>
        <family val="1"/>
      </rPr>
      <t>©</t>
    </r>
  </si>
  <si>
    <t>Resultant of 2 loads is at:</t>
  </si>
  <si>
    <t>trans.</t>
  </si>
  <si>
    <t>long.</t>
  </si>
  <si>
    <t>dim. (cm)</t>
  </si>
  <si>
    <t>Sec. dim.</t>
  </si>
  <si>
    <t>dim of column</t>
  </si>
  <si>
    <t>column dim.</t>
  </si>
  <si>
    <t>inter.</t>
  </si>
  <si>
    <t>from external column</t>
  </si>
  <si>
    <t>exter.</t>
  </si>
  <si>
    <t>Take eccentricity =</t>
  </si>
  <si>
    <t>external footing</t>
  </si>
  <si>
    <t>internal footing</t>
  </si>
  <si>
    <t>Dim. Of strap beam :</t>
  </si>
  <si>
    <t>Rft. Of strap beam :</t>
  </si>
  <si>
    <t>Top Rft.</t>
  </si>
  <si>
    <t>Bottom Rft.</t>
  </si>
  <si>
    <t>Stirrups :</t>
  </si>
  <si>
    <t>branches</t>
  </si>
  <si>
    <t>* Design of strap footings</t>
  </si>
  <si>
    <t>* Design of Strap footings</t>
  </si>
  <si>
    <r>
      <t>Stirrups                F</t>
    </r>
    <r>
      <rPr>
        <b/>
        <vertAlign val="subscript"/>
        <sz val="11"/>
        <rFont val="Arial"/>
        <family val="2"/>
      </rPr>
      <t xml:space="preserve">y   </t>
    </r>
    <r>
      <rPr>
        <b/>
        <sz val="11"/>
        <rFont val="Arial"/>
        <family val="2"/>
      </rPr>
      <t>=</t>
    </r>
  </si>
  <si>
    <r>
      <t>q</t>
    </r>
    <r>
      <rPr>
        <b/>
        <vertAlign val="subscript"/>
        <sz val="10"/>
        <color indexed="18"/>
        <rFont val="Arial"/>
        <family val="2"/>
      </rPr>
      <t>u</t>
    </r>
  </si>
  <si>
    <r>
      <t>Shear stress (kg/cm</t>
    </r>
    <r>
      <rPr>
        <b/>
        <i/>
        <vertAlign val="superscript"/>
        <sz val="10"/>
        <color indexed="18"/>
        <rFont val="Arial"/>
        <family val="2"/>
      </rPr>
      <t>2</t>
    </r>
    <r>
      <rPr>
        <b/>
        <i/>
        <sz val="10"/>
        <color indexed="18"/>
        <rFont val="Arial"/>
        <family val="2"/>
      </rPr>
      <t>)</t>
    </r>
  </si>
  <si>
    <r>
      <t>Punching stress (kg/cm</t>
    </r>
    <r>
      <rPr>
        <b/>
        <i/>
        <vertAlign val="superscript"/>
        <sz val="10"/>
        <color indexed="18"/>
        <rFont val="Arial"/>
        <family val="2"/>
      </rPr>
      <t>2</t>
    </r>
    <r>
      <rPr>
        <b/>
        <i/>
        <sz val="10"/>
        <color indexed="18"/>
        <rFont val="Arial"/>
        <family val="2"/>
      </rPr>
      <t>)</t>
    </r>
  </si>
  <si>
    <r>
      <t>As</t>
    </r>
    <r>
      <rPr>
        <b/>
        <vertAlign val="subscript"/>
        <sz val="10"/>
        <color indexed="18"/>
        <rFont val="Arial"/>
        <family val="2"/>
      </rPr>
      <t>min</t>
    </r>
  </si>
  <si>
    <r>
      <t>cm</t>
    </r>
    <r>
      <rPr>
        <vertAlign val="superscript"/>
        <sz val="10"/>
        <color indexed="18"/>
        <rFont val="Arial"/>
        <family val="2"/>
      </rPr>
      <t>2</t>
    </r>
  </si>
  <si>
    <t>chosen</t>
  </si>
  <si>
    <t>Comp.fl.</t>
  </si>
  <si>
    <t>Using the Ultimate Limit Design Method</t>
  </si>
  <si>
    <r>
      <t>q</t>
    </r>
    <r>
      <rPr>
        <b/>
        <vertAlign val="subscript"/>
        <sz val="10"/>
        <color indexed="18"/>
        <rFont val="Arial"/>
        <family val="2"/>
      </rPr>
      <t>su</t>
    </r>
  </si>
  <si>
    <r>
      <t>q</t>
    </r>
    <r>
      <rPr>
        <b/>
        <vertAlign val="subscript"/>
        <sz val="10"/>
        <color indexed="18"/>
        <rFont val="Arial"/>
        <family val="2"/>
      </rPr>
      <t>tu</t>
    </r>
  </si>
  <si>
    <t>Hollow Slabs:</t>
  </si>
  <si>
    <t>Web breadth</t>
  </si>
  <si>
    <t>Spacing</t>
  </si>
  <si>
    <t>Thick</t>
  </si>
  <si>
    <t>Slab th</t>
  </si>
  <si>
    <t>F.C</t>
  </si>
  <si>
    <t>L.L</t>
  </si>
  <si>
    <t>One way</t>
  </si>
  <si>
    <t>Two way</t>
  </si>
  <si>
    <t>e (cm)</t>
  </si>
  <si>
    <r>
      <t>t</t>
    </r>
    <r>
      <rPr>
        <b/>
        <vertAlign val="subscript"/>
        <sz val="10"/>
        <rFont val="Arial"/>
        <family val="2"/>
      </rPr>
      <t xml:space="preserve">s </t>
    </r>
    <r>
      <rPr>
        <b/>
        <sz val="10"/>
        <rFont val="Arial"/>
        <family val="2"/>
      </rPr>
      <t>(cm)</t>
    </r>
  </si>
  <si>
    <r>
      <t>(kg/m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</si>
  <si>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(kg/cm</t>
    </r>
    <r>
      <rPr>
        <b/>
        <vertAlign val="superscript"/>
        <sz val="10"/>
        <color indexed="18"/>
        <rFont val="Arial"/>
        <family val="2"/>
      </rPr>
      <t>2</t>
    </r>
    <r>
      <rPr>
        <b/>
        <sz val="10"/>
        <color indexed="18"/>
        <rFont val="Arial"/>
        <family val="0"/>
      </rPr>
      <t>)</t>
    </r>
  </si>
  <si>
    <r>
      <t>kg/cm</t>
    </r>
    <r>
      <rPr>
        <vertAlign val="superscript"/>
        <sz val="10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</si>
  <si>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2</t>
    </r>
  </si>
  <si>
    <r>
      <t>W</t>
    </r>
    <r>
      <rPr>
        <b/>
        <vertAlign val="subscript"/>
        <sz val="10"/>
        <color indexed="18"/>
        <rFont val="Arial"/>
        <family val="2"/>
      </rPr>
      <t>u</t>
    </r>
    <r>
      <rPr>
        <b/>
        <sz val="10"/>
        <color indexed="18"/>
        <rFont val="Arial"/>
        <family val="2"/>
      </rPr>
      <t xml:space="preserve"> (t/m`)</t>
    </r>
  </si>
  <si>
    <r>
      <t>W</t>
    </r>
    <r>
      <rPr>
        <b/>
        <vertAlign val="subscript"/>
        <sz val="10"/>
        <color indexed="18"/>
        <rFont val="Arial"/>
        <family val="2"/>
      </rPr>
      <t>u</t>
    </r>
    <r>
      <rPr>
        <b/>
        <sz val="10"/>
        <color indexed="18"/>
        <rFont val="Arial"/>
        <family val="2"/>
      </rPr>
      <t xml:space="preserve"> (t/m</t>
    </r>
    <r>
      <rPr>
        <b/>
        <vertAlign val="superscript"/>
        <sz val="10"/>
        <color indexed="18"/>
        <rFont val="Arial"/>
        <family val="2"/>
      </rPr>
      <t>2</t>
    </r>
    <r>
      <rPr>
        <b/>
        <sz val="10"/>
        <color indexed="18"/>
        <rFont val="Arial"/>
        <family val="2"/>
      </rPr>
      <t>)</t>
    </r>
  </si>
  <si>
    <r>
      <t>(cm</t>
    </r>
    <r>
      <rPr>
        <b/>
        <vertAlign val="superscript"/>
        <sz val="10"/>
        <color indexed="18"/>
        <rFont val="Arial"/>
        <family val="2"/>
      </rPr>
      <t>2</t>
    </r>
    <r>
      <rPr>
        <b/>
        <sz val="10"/>
        <color indexed="18"/>
        <rFont val="Arial"/>
        <family val="0"/>
      </rPr>
      <t>)</t>
    </r>
  </si>
  <si>
    <t>* Design of Flat Slab</t>
  </si>
  <si>
    <r>
      <t>Concrete F</t>
    </r>
    <r>
      <rPr>
        <b/>
        <vertAlign val="subscript"/>
        <sz val="11"/>
        <rFont val="Arial"/>
        <family val="2"/>
      </rPr>
      <t xml:space="preserve">cu  </t>
    </r>
    <r>
      <rPr>
        <b/>
        <sz val="11"/>
        <rFont val="Arial"/>
        <family val="2"/>
      </rPr>
      <t>=</t>
    </r>
  </si>
  <si>
    <t>Module:</t>
  </si>
  <si>
    <t>Long direction</t>
  </si>
  <si>
    <t>Short direc.</t>
  </si>
  <si>
    <t>Marginal beams: 1)Yes   2)No</t>
  </si>
  <si>
    <t>Column dim.:</t>
  </si>
  <si>
    <t>Slab thickness:</t>
  </si>
  <si>
    <t>Live load:</t>
  </si>
  <si>
    <r>
      <t>kg/m</t>
    </r>
    <r>
      <rPr>
        <vertAlign val="superscript"/>
        <sz val="11"/>
        <rFont val="Arial"/>
        <family val="2"/>
      </rPr>
      <t>2</t>
    </r>
  </si>
  <si>
    <t>Walls load:</t>
  </si>
  <si>
    <r>
      <t>t/m</t>
    </r>
    <r>
      <rPr>
        <b/>
        <vertAlign val="superscript"/>
        <sz val="11"/>
        <rFont val="Arial"/>
        <family val="2"/>
      </rPr>
      <t>2</t>
    </r>
  </si>
  <si>
    <t>Column strip</t>
  </si>
  <si>
    <t>Field strip</t>
  </si>
  <si>
    <t>Short direction</t>
  </si>
  <si>
    <r>
      <t>Slab load W</t>
    </r>
    <r>
      <rPr>
        <b/>
        <vertAlign val="subscript"/>
        <sz val="11"/>
        <rFont val="Arial"/>
        <family val="2"/>
      </rPr>
      <t>su</t>
    </r>
    <r>
      <rPr>
        <b/>
        <sz val="11"/>
        <rFont val="Arial"/>
        <family val="2"/>
      </rPr>
      <t xml:space="preserve"> = </t>
    </r>
  </si>
  <si>
    <t>* Design of flat slabs</t>
  </si>
  <si>
    <t>Reinforcement</t>
  </si>
  <si>
    <t>Rft. /m</t>
  </si>
  <si>
    <t>Rft.</t>
  </si>
  <si>
    <t>Stirrups</t>
  </si>
  <si>
    <t>* Design of Retaining Walls</t>
  </si>
  <si>
    <r>
      <t>Concrete             F</t>
    </r>
    <r>
      <rPr>
        <b/>
        <vertAlign val="subscript"/>
        <sz val="11"/>
        <rFont val="Arial"/>
        <family val="2"/>
      </rPr>
      <t xml:space="preserve">cu   </t>
    </r>
    <r>
      <rPr>
        <b/>
        <sz val="11"/>
        <rFont val="Arial"/>
        <family val="2"/>
      </rPr>
      <t>=</t>
    </r>
  </si>
  <si>
    <r>
      <t xml:space="preserve">Soil density </t>
    </r>
    <r>
      <rPr>
        <b/>
        <sz val="11"/>
        <rFont val="Symbol"/>
        <family val="1"/>
      </rPr>
      <t>g</t>
    </r>
    <r>
      <rPr>
        <b/>
        <sz val="11"/>
        <rFont val="Arial"/>
        <family val="2"/>
      </rPr>
      <t xml:space="preserve">             =</t>
    </r>
  </si>
  <si>
    <r>
      <t>ton/m</t>
    </r>
    <r>
      <rPr>
        <b/>
        <vertAlign val="superscript"/>
        <sz val="11"/>
        <rFont val="Arial"/>
        <family val="2"/>
      </rPr>
      <t>3</t>
    </r>
  </si>
  <si>
    <t>force</t>
  </si>
  <si>
    <t>weight</t>
  </si>
  <si>
    <t>slid</t>
  </si>
  <si>
    <t>over</t>
  </si>
  <si>
    <t>stress</t>
  </si>
  <si>
    <t>Cohesion of soil C    =</t>
  </si>
  <si>
    <r>
      <t>Coeff. of earth pressure K</t>
    </r>
    <r>
      <rPr>
        <b/>
        <vertAlign val="sub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=</t>
    </r>
  </si>
  <si>
    <t>mom</t>
  </si>
  <si>
    <t>e</t>
  </si>
  <si>
    <t>Factor of safety against sliding =</t>
  </si>
  <si>
    <t>Factor of safety against overturning =</t>
  </si>
  <si>
    <t>Max. stress on soil =</t>
  </si>
  <si>
    <t>Min. stress on soil =</t>
  </si>
  <si>
    <t>For wall</t>
  </si>
  <si>
    <t>For Base</t>
  </si>
  <si>
    <r>
      <t>As (cm</t>
    </r>
    <r>
      <rPr>
        <b/>
        <vertAlign val="superscript"/>
        <sz val="10"/>
        <color indexed="18"/>
        <rFont val="Arial"/>
        <family val="2"/>
      </rPr>
      <t>2</t>
    </r>
    <r>
      <rPr>
        <b/>
        <sz val="10"/>
        <color indexed="18"/>
        <rFont val="Arial"/>
        <family val="2"/>
      </rPr>
      <t>)</t>
    </r>
  </si>
  <si>
    <r>
      <t xml:space="preserve">As </t>
    </r>
    <r>
      <rPr>
        <b/>
        <vertAlign val="subscript"/>
        <sz val="10"/>
        <color indexed="18"/>
        <rFont val="Arial"/>
        <family val="2"/>
      </rPr>
      <t>min</t>
    </r>
  </si>
  <si>
    <t>* Design of retaining walls</t>
  </si>
  <si>
    <t>t/m'</t>
  </si>
  <si>
    <r>
      <t xml:space="preserve">Angle of friction </t>
    </r>
    <r>
      <rPr>
        <b/>
        <sz val="11"/>
        <rFont val="Symbol"/>
        <family val="1"/>
      </rPr>
      <t xml:space="preserve">d   </t>
    </r>
    <r>
      <rPr>
        <b/>
        <sz val="11"/>
        <rFont val="Arial"/>
        <family val="2"/>
      </rPr>
      <t xml:space="preserve">  =</t>
    </r>
  </si>
  <si>
    <t>degree</t>
  </si>
  <si>
    <t>Normal</t>
  </si>
  <si>
    <t>ecc.</t>
  </si>
  <si>
    <r>
      <t>N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0"/>
      </rPr>
      <t xml:space="preserve"> (t)</t>
    </r>
  </si>
  <si>
    <t>* Design of Sec. under M,N</t>
  </si>
  <si>
    <t>* Design of sections under M,N</t>
  </si>
  <si>
    <t>* Design of Rectangular Columns</t>
  </si>
  <si>
    <t>* Design of Circular Columns</t>
  </si>
  <si>
    <t>Diamter</t>
  </si>
  <si>
    <t>D (cm)</t>
  </si>
  <si>
    <t>* Design of rectangular columns</t>
  </si>
  <si>
    <t>* Design of circular columns</t>
  </si>
  <si>
    <t>* Design of isolated footings under moment</t>
  </si>
  <si>
    <t>Moment</t>
  </si>
  <si>
    <t>* Design of Isolated footings under moment</t>
  </si>
  <si>
    <r>
      <t>M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(m.t)</t>
    </r>
  </si>
  <si>
    <r>
      <t>L</t>
    </r>
    <r>
      <rPr>
        <b/>
        <vertAlign val="subscript"/>
        <sz val="10"/>
        <color indexed="18"/>
        <rFont val="Arial"/>
        <family val="2"/>
      </rPr>
      <t>min</t>
    </r>
    <r>
      <rPr>
        <b/>
        <sz val="10"/>
        <color indexed="18"/>
        <rFont val="Arial"/>
        <family val="2"/>
      </rPr>
      <t xml:space="preserve"> (cm)</t>
    </r>
  </si>
  <si>
    <t>Choose dim of P.C</t>
  </si>
  <si>
    <r>
      <t>Max. Stree (kg/cm</t>
    </r>
    <r>
      <rPr>
        <b/>
        <i/>
        <vertAlign val="superscript"/>
        <sz val="10"/>
        <color indexed="18"/>
        <rFont val="Arial"/>
        <family val="2"/>
      </rPr>
      <t>2</t>
    </r>
    <r>
      <rPr>
        <b/>
        <i/>
        <sz val="10"/>
        <color indexed="18"/>
        <rFont val="Arial"/>
        <family val="2"/>
      </rPr>
      <t>) =</t>
    </r>
  </si>
  <si>
    <r>
      <t>Min. Stress (kg/cm</t>
    </r>
    <r>
      <rPr>
        <b/>
        <i/>
        <vertAlign val="superscript"/>
        <sz val="10"/>
        <color indexed="18"/>
        <rFont val="Arial"/>
        <family val="2"/>
      </rPr>
      <t>2</t>
    </r>
    <r>
      <rPr>
        <b/>
        <i/>
        <sz val="10"/>
        <color indexed="18"/>
        <rFont val="Arial"/>
        <family val="2"/>
      </rPr>
      <t>) =</t>
    </r>
  </si>
  <si>
    <t>Ver.  5.6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</si>
</sst>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0000"/>
    <numFmt numFmtId="179" formatCode="0.0000"/>
    <numFmt numFmtId="180" formatCode="0.000"/>
    <numFmt numFmtId="181" formatCode="0.00000000"/>
    <numFmt numFmtId="182" formatCode="0.000000000"/>
    <numFmt numFmtId="183" formatCode="0.0000000000"/>
    <numFmt numFmtId="184" formatCode="0.0000000"/>
    <numFmt numFmtId="185" formatCode="0.000000"/>
    <numFmt numFmtId="186" formatCode="0.0"/>
  </numFmts>
  <fonts count="77">
    <font>
      <sz val="10"/>
      <name val="Arial"/>
      <family val="0"/>
    </font>
    <font>
      <b/>
      <i/>
      <u val="single"/>
      <sz val="16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i/>
      <u val="single"/>
      <sz val="18"/>
      <name val="Times New Roman"/>
      <family val="1"/>
    </font>
    <font>
      <b/>
      <i/>
      <u val="single"/>
      <sz val="14"/>
      <name val="Times New Roman"/>
      <family val="1"/>
    </font>
    <font>
      <b/>
      <i/>
      <sz val="2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26"/>
      <name val="Times New Roman"/>
      <family val="1"/>
    </font>
    <font>
      <b/>
      <i/>
      <sz val="14"/>
      <name val="Times New Roman"/>
      <family val="1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0"/>
      <color indexed="18"/>
      <name val="Symbol"/>
      <family val="1"/>
    </font>
    <font>
      <b/>
      <i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vertAlign val="subscript"/>
      <sz val="10"/>
      <color indexed="18"/>
      <name val="Arial"/>
      <family val="2"/>
    </font>
    <font>
      <b/>
      <i/>
      <vertAlign val="superscript"/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i/>
      <sz val="16"/>
      <name val="Times New Roman"/>
      <family val="1"/>
    </font>
    <font>
      <b/>
      <i/>
      <sz val="12"/>
      <color indexed="18"/>
      <name val="Arial"/>
      <family val="2"/>
    </font>
    <font>
      <i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i/>
      <sz val="11"/>
      <color indexed="18"/>
      <name val="Arial"/>
      <family val="2"/>
    </font>
    <font>
      <sz val="10"/>
      <color indexed="18"/>
      <name val="Symbol"/>
      <family val="1"/>
    </font>
    <font>
      <b/>
      <sz val="11"/>
      <name val="Symbol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7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1" fillId="34" borderId="0" xfId="0" applyFont="1" applyFill="1" applyAlignment="1">
      <alignment/>
    </xf>
    <xf numFmtId="180" fontId="32" fillId="34" borderId="14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80" fontId="0" fillId="34" borderId="0" xfId="0" applyNumberForma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180" fontId="32" fillId="34" borderId="18" xfId="0" applyNumberFormat="1" applyFont="1" applyFill="1" applyBorder="1" applyAlignment="1">
      <alignment horizontal="center"/>
    </xf>
    <xf numFmtId="180" fontId="32" fillId="34" borderId="19" xfId="0" applyNumberFormat="1" applyFont="1" applyFill="1" applyBorder="1" applyAlignment="1">
      <alignment horizontal="center"/>
    </xf>
    <xf numFmtId="180" fontId="32" fillId="34" borderId="20" xfId="0" applyNumberFormat="1" applyFont="1" applyFill="1" applyBorder="1" applyAlignment="1">
      <alignment horizontal="center"/>
    </xf>
    <xf numFmtId="180" fontId="32" fillId="34" borderId="21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80" fontId="32" fillId="34" borderId="13" xfId="0" applyNumberFormat="1" applyFont="1" applyFill="1" applyBorder="1" applyAlignment="1">
      <alignment horizontal="center"/>
    </xf>
    <xf numFmtId="180" fontId="32" fillId="34" borderId="10" xfId="0" applyNumberFormat="1" applyFont="1" applyFill="1" applyBorder="1" applyAlignment="1">
      <alignment horizontal="center"/>
    </xf>
    <xf numFmtId="180" fontId="32" fillId="34" borderId="22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9" fillId="34" borderId="0" xfId="53" applyFill="1" applyAlignment="1" applyProtection="1">
      <alignment/>
      <protection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2" fontId="32" fillId="34" borderId="18" xfId="0" applyNumberFormat="1" applyFont="1" applyFill="1" applyBorder="1" applyAlignment="1">
      <alignment horizontal="center"/>
    </xf>
    <xf numFmtId="1" fontId="32" fillId="34" borderId="27" xfId="0" applyNumberFormat="1" applyFont="1" applyFill="1" applyBorder="1" applyAlignment="1">
      <alignment horizontal="center"/>
    </xf>
    <xf numFmtId="1" fontId="37" fillId="34" borderId="28" xfId="0" applyNumberFormat="1" applyFont="1" applyFill="1" applyBorder="1" applyAlignment="1">
      <alignment horizontal="center"/>
    </xf>
    <xf numFmtId="0" fontId="25" fillId="34" borderId="29" xfId="0" applyFont="1" applyFill="1" applyBorder="1" applyAlignment="1">
      <alignment horizontal="center"/>
    </xf>
    <xf numFmtId="1" fontId="37" fillId="34" borderId="30" xfId="0" applyNumberFormat="1" applyFont="1" applyFill="1" applyBorder="1" applyAlignment="1">
      <alignment horizontal="center"/>
    </xf>
    <xf numFmtId="0" fontId="25" fillId="34" borderId="31" xfId="0" applyFont="1" applyFill="1" applyBorder="1" applyAlignment="1">
      <alignment horizontal="center"/>
    </xf>
    <xf numFmtId="2" fontId="32" fillId="34" borderId="14" xfId="0" applyNumberFormat="1" applyFont="1" applyFill="1" applyBorder="1" applyAlignment="1">
      <alignment horizontal="center"/>
    </xf>
    <xf numFmtId="1" fontId="32" fillId="34" borderId="32" xfId="0" applyNumberFormat="1" applyFont="1" applyFill="1" applyBorder="1" applyAlignment="1">
      <alignment horizontal="center"/>
    </xf>
    <xf numFmtId="1" fontId="37" fillId="34" borderId="33" xfId="0" applyNumberFormat="1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2" fontId="2" fillId="34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 horizontal="left"/>
    </xf>
    <xf numFmtId="2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2" fillId="34" borderId="18" xfId="0" applyFont="1" applyFill="1" applyBorder="1" applyAlignment="1">
      <alignment horizontal="center"/>
    </xf>
    <xf numFmtId="1" fontId="37" fillId="34" borderId="34" xfId="0" applyNumberFormat="1" applyFont="1" applyFill="1" applyBorder="1" applyAlignment="1">
      <alignment horizontal="center"/>
    </xf>
    <xf numFmtId="1" fontId="37" fillId="34" borderId="35" xfId="0" applyNumberFormat="1" applyFont="1" applyFill="1" applyBorder="1" applyAlignment="1">
      <alignment horizontal="center"/>
    </xf>
    <xf numFmtId="0" fontId="32" fillId="34" borderId="14" xfId="0" applyFont="1" applyFill="1" applyBorder="1" applyAlignment="1">
      <alignment horizontal="center"/>
    </xf>
    <xf numFmtId="0" fontId="25" fillId="34" borderId="36" xfId="0" applyFont="1" applyFill="1" applyBorder="1" applyAlignment="1">
      <alignment horizontal="center"/>
    </xf>
    <xf numFmtId="1" fontId="32" fillId="34" borderId="27" xfId="0" applyNumberFormat="1" applyFont="1" applyFill="1" applyBorder="1" applyAlignment="1">
      <alignment horizontal="right"/>
    </xf>
    <xf numFmtId="1" fontId="32" fillId="34" borderId="32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2" fillId="34" borderId="37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2" fontId="32" fillId="34" borderId="0" xfId="0" applyNumberFormat="1" applyFont="1" applyFill="1" applyAlignment="1">
      <alignment horizontal="center"/>
    </xf>
    <xf numFmtId="2" fontId="25" fillId="34" borderId="39" xfId="0" applyNumberFormat="1" applyFont="1" applyFill="1" applyBorder="1" applyAlignment="1">
      <alignment horizontal="center"/>
    </xf>
    <xf numFmtId="2" fontId="32" fillId="34" borderId="21" xfId="0" applyNumberFormat="1" applyFont="1" applyFill="1" applyBorder="1" applyAlignment="1">
      <alignment horizontal="center"/>
    </xf>
    <xf numFmtId="2" fontId="25" fillId="34" borderId="16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180" fontId="18" fillId="34" borderId="0" xfId="0" applyNumberFormat="1" applyFont="1" applyFill="1" applyBorder="1" applyAlignment="1">
      <alignment horizontal="center"/>
    </xf>
    <xf numFmtId="0" fontId="23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186" fontId="32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180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ont="1" applyFill="1" applyAlignment="1">
      <alignment/>
    </xf>
    <xf numFmtId="1" fontId="32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4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" fontId="32" fillId="34" borderId="18" xfId="0" applyNumberFormat="1" applyFont="1" applyFill="1" applyBorder="1" applyAlignment="1">
      <alignment horizontal="center"/>
    </xf>
    <xf numFmtId="0" fontId="32" fillId="34" borderId="41" xfId="0" applyFont="1" applyFill="1" applyBorder="1" applyAlignment="1">
      <alignment horizontal="center"/>
    </xf>
    <xf numFmtId="1" fontId="32" fillId="34" borderId="41" xfId="0" applyNumberFormat="1" applyFont="1" applyFill="1" applyBorder="1" applyAlignment="1">
      <alignment horizontal="center"/>
    </xf>
    <xf numFmtId="2" fontId="32" fillId="34" borderId="41" xfId="0" applyNumberFormat="1" applyFont="1" applyFill="1" applyBorder="1" applyAlignment="1">
      <alignment horizontal="center"/>
    </xf>
    <xf numFmtId="1" fontId="37" fillId="34" borderId="10" xfId="0" applyNumberFormat="1" applyFont="1" applyFill="1" applyBorder="1" applyAlignment="1">
      <alignment horizontal="center"/>
    </xf>
    <xf numFmtId="0" fontId="32" fillId="34" borderId="19" xfId="0" applyFont="1" applyFill="1" applyBorder="1" applyAlignment="1">
      <alignment horizontal="center"/>
    </xf>
    <xf numFmtId="1" fontId="32" fillId="34" borderId="19" xfId="0" applyNumberFormat="1" applyFont="1" applyFill="1" applyBorder="1" applyAlignment="1">
      <alignment horizontal="center"/>
    </xf>
    <xf numFmtId="2" fontId="32" fillId="34" borderId="19" xfId="0" applyNumberFormat="1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32" fillId="34" borderId="13" xfId="0" applyFont="1" applyFill="1" applyBorder="1" applyAlignment="1">
      <alignment horizontal="center"/>
    </xf>
    <xf numFmtId="1" fontId="32" fillId="34" borderId="13" xfId="0" applyNumberFormat="1" applyFont="1" applyFill="1" applyBorder="1" applyAlignment="1">
      <alignment horizontal="center"/>
    </xf>
    <xf numFmtId="2" fontId="32" fillId="34" borderId="13" xfId="0" applyNumberFormat="1" applyFont="1" applyFill="1" applyBorder="1" applyAlignment="1">
      <alignment horizontal="center"/>
    </xf>
    <xf numFmtId="1" fontId="32" fillId="34" borderId="43" xfId="0" applyNumberFormat="1" applyFont="1" applyFill="1" applyBorder="1" applyAlignment="1">
      <alignment horizontal="right"/>
    </xf>
    <xf numFmtId="1" fontId="32" fillId="34" borderId="44" xfId="0" applyNumberFormat="1" applyFont="1" applyFill="1" applyBorder="1" applyAlignment="1">
      <alignment horizontal="right"/>
    </xf>
    <xf numFmtId="1" fontId="32" fillId="34" borderId="17" xfId="0" applyNumberFormat="1" applyFont="1" applyFill="1" applyBorder="1" applyAlignment="1">
      <alignment horizontal="right"/>
    </xf>
    <xf numFmtId="0" fontId="23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180" fontId="32" fillId="34" borderId="0" xfId="0" applyNumberFormat="1" applyFont="1" applyFill="1" applyAlignment="1">
      <alignment horizontal="center"/>
    </xf>
    <xf numFmtId="0" fontId="23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25" fillId="34" borderId="0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2" fontId="0" fillId="34" borderId="0" xfId="0" applyNumberFormat="1" applyFill="1" applyAlignment="1">
      <alignment horizontal="center"/>
    </xf>
    <xf numFmtId="0" fontId="25" fillId="34" borderId="0" xfId="0" applyFont="1" applyFill="1" applyAlignment="1">
      <alignment horizontal="left"/>
    </xf>
    <xf numFmtId="0" fontId="25" fillId="34" borderId="0" xfId="0" applyFont="1" applyFill="1" applyAlignment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2" fontId="23" fillId="34" borderId="0" xfId="0" applyNumberFormat="1" applyFont="1" applyFill="1" applyAlignment="1">
      <alignment horizontal="center"/>
    </xf>
    <xf numFmtId="0" fontId="23" fillId="34" borderId="0" xfId="0" applyFont="1" applyFill="1" applyBorder="1" applyAlignment="1">
      <alignment/>
    </xf>
    <xf numFmtId="2" fontId="0" fillId="34" borderId="0" xfId="0" applyNumberFormat="1" applyFont="1" applyFill="1" applyAlignment="1">
      <alignment horizontal="center"/>
    </xf>
    <xf numFmtId="2" fontId="25" fillId="34" borderId="0" xfId="0" applyNumberFormat="1" applyFont="1" applyFill="1" applyAlignment="1">
      <alignment horizontal="center"/>
    </xf>
    <xf numFmtId="0" fontId="23" fillId="34" borderId="0" xfId="0" applyFont="1" applyFill="1" applyAlignment="1">
      <alignment horizontal="left"/>
    </xf>
    <xf numFmtId="2" fontId="0" fillId="34" borderId="0" xfId="0" applyNumberFormat="1" applyFont="1" applyFill="1" applyAlignment="1">
      <alignment/>
    </xf>
    <xf numFmtId="0" fontId="2" fillId="34" borderId="37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2" fontId="2" fillId="34" borderId="45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Alignment="1">
      <alignment vertical="center"/>
    </xf>
    <xf numFmtId="0" fontId="2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2" fontId="32" fillId="34" borderId="0" xfId="0" applyNumberFormat="1" applyFont="1" applyFill="1" applyAlignment="1">
      <alignment horizontal="left"/>
    </xf>
    <xf numFmtId="0" fontId="25" fillId="33" borderId="10" xfId="0" applyFont="1" applyFill="1" applyBorder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1" fontId="32" fillId="34" borderId="0" xfId="0" applyNumberFormat="1" applyFont="1" applyFill="1" applyAlignment="1">
      <alignment horizontal="right"/>
    </xf>
    <xf numFmtId="0" fontId="37" fillId="34" borderId="0" xfId="0" applyFont="1" applyFill="1" applyAlignment="1">
      <alignment horizontal="center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2" fillId="34" borderId="51" xfId="0" applyFont="1" applyFill="1" applyBorder="1" applyAlignment="1" applyProtection="1">
      <alignment horizontal="center"/>
      <protection locked="0"/>
    </xf>
    <xf numFmtId="0" fontId="2" fillId="34" borderId="45" xfId="0" applyFont="1" applyFill="1" applyBorder="1" applyAlignment="1" applyProtection="1">
      <alignment horizontal="center"/>
      <protection locked="0"/>
    </xf>
    <xf numFmtId="0" fontId="0" fillId="34" borderId="35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 locked="0"/>
    </xf>
    <xf numFmtId="0" fontId="18" fillId="34" borderId="0" xfId="0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0" fontId="36" fillId="34" borderId="0" xfId="0" applyFont="1" applyFill="1" applyBorder="1" applyAlignment="1" applyProtection="1">
      <alignment horizontal="center"/>
      <protection locked="0"/>
    </xf>
    <xf numFmtId="2" fontId="0" fillId="34" borderId="18" xfId="0" applyNumberFormat="1" applyFill="1" applyBorder="1" applyAlignment="1" applyProtection="1">
      <alignment horizontal="center"/>
      <protection locked="0"/>
    </xf>
    <xf numFmtId="2" fontId="0" fillId="34" borderId="14" xfId="0" applyNumberFormat="1" applyFill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180" fontId="2" fillId="34" borderId="0" xfId="0" applyNumberFormat="1" applyFont="1" applyFill="1" applyBorder="1" applyAlignment="1" applyProtection="1">
      <alignment horizontal="center"/>
      <protection locked="0"/>
    </xf>
    <xf numFmtId="1" fontId="0" fillId="34" borderId="27" xfId="0" applyNumberFormat="1" applyFont="1" applyFill="1" applyBorder="1" applyAlignment="1" applyProtection="1">
      <alignment horizontal="center"/>
      <protection locked="0"/>
    </xf>
    <xf numFmtId="1" fontId="0" fillId="34" borderId="14" xfId="0" applyNumberFormat="1" applyFont="1" applyFill="1" applyBorder="1" applyAlignment="1" applyProtection="1">
      <alignment horizontal="center"/>
      <protection locked="0"/>
    </xf>
    <xf numFmtId="0" fontId="0" fillId="34" borderId="53" xfId="0" applyFont="1" applyFill="1" applyBorder="1" applyAlignment="1" applyProtection="1">
      <alignment horizontal="left"/>
      <protection locked="0"/>
    </xf>
    <xf numFmtId="0" fontId="0" fillId="34" borderId="54" xfId="0" applyFont="1" applyFill="1" applyBorder="1" applyAlignment="1" applyProtection="1">
      <alignment horizontal="left"/>
      <protection locked="0"/>
    </xf>
    <xf numFmtId="0" fontId="0" fillId="34" borderId="52" xfId="0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1" fontId="2" fillId="34" borderId="45" xfId="0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41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39" xfId="0" applyFont="1" applyFill="1" applyBorder="1" applyAlignment="1" applyProtection="1">
      <alignment horizontal="left"/>
      <protection locked="0"/>
    </xf>
    <xf numFmtId="0" fontId="0" fillId="34" borderId="56" xfId="0" applyFont="1" applyFill="1" applyBorder="1" applyAlignment="1" applyProtection="1">
      <alignment horizontal="left"/>
      <protection locked="0"/>
    </xf>
    <xf numFmtId="0" fontId="0" fillId="34" borderId="57" xfId="0" applyFont="1" applyFill="1" applyBorder="1" applyAlignment="1" applyProtection="1">
      <alignment horizontal="left"/>
      <protection locked="0"/>
    </xf>
    <xf numFmtId="0" fontId="0" fillId="34" borderId="58" xfId="0" applyFont="1" applyFill="1" applyBorder="1" applyAlignment="1" applyProtection="1">
      <alignment horizontal="left"/>
      <protection locked="0"/>
    </xf>
    <xf numFmtId="2" fontId="2" fillId="34" borderId="45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2" fontId="0" fillId="34" borderId="0" xfId="0" applyNumberFormat="1" applyFont="1" applyFill="1" applyAlignment="1" applyProtection="1">
      <alignment horizontal="center"/>
      <protection locked="0"/>
    </xf>
    <xf numFmtId="2" fontId="0" fillId="34" borderId="0" xfId="0" applyNumberFormat="1" applyFont="1" applyFill="1" applyAlignment="1" applyProtection="1">
      <alignment horizontal="right" vertical="center" textRotation="90"/>
      <protection locked="0"/>
    </xf>
    <xf numFmtId="2" fontId="0" fillId="34" borderId="0" xfId="0" applyNumberFormat="1" applyFont="1" applyFill="1" applyAlignment="1" applyProtection="1">
      <alignment horizontal="center" vertical="center" textRotation="90"/>
      <protection locked="0"/>
    </xf>
    <xf numFmtId="2" fontId="0" fillId="34" borderId="0" xfId="0" applyNumberFormat="1" applyFont="1" applyFill="1" applyAlignment="1" applyProtection="1">
      <alignment horizontal="left" vertical="center"/>
      <protection locked="0"/>
    </xf>
    <xf numFmtId="2" fontId="0" fillId="34" borderId="0" xfId="0" applyNumberFormat="1" applyFont="1" applyFill="1" applyAlignment="1" applyProtection="1">
      <alignment horizontal="center" vertical="top"/>
      <protection locked="0"/>
    </xf>
    <xf numFmtId="0" fontId="0" fillId="34" borderId="0" xfId="0" applyFont="1" applyFill="1" applyAlignment="1" applyProtection="1">
      <alignment horizontal="left"/>
      <protection locked="0"/>
    </xf>
    <xf numFmtId="1" fontId="0" fillId="34" borderId="0" xfId="0" applyNumberFormat="1" applyFill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>
      <alignment horizontal="center" vertical="top"/>
      <protection locked="0"/>
    </xf>
    <xf numFmtId="1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>
      <alignment vertical="center"/>
    </xf>
    <xf numFmtId="0" fontId="2" fillId="34" borderId="51" xfId="0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>
      <alignment vertical="center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>
      <alignment vertical="center"/>
    </xf>
    <xf numFmtId="2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Font="1" applyFill="1" applyBorder="1" applyAlignment="1" applyProtection="1">
      <alignment horizontal="center"/>
      <protection locked="0"/>
    </xf>
    <xf numFmtId="0" fontId="0" fillId="34" borderId="59" xfId="0" applyFont="1" applyFill="1" applyBorder="1" applyAlignment="1" applyProtection="1">
      <alignment horizontal="center"/>
      <protection locked="0"/>
    </xf>
    <xf numFmtId="0" fontId="32" fillId="34" borderId="18" xfId="0" applyFont="1" applyFill="1" applyBorder="1" applyAlignment="1" applyProtection="1">
      <alignment horizontal="center"/>
      <protection/>
    </xf>
    <xf numFmtId="0" fontId="32" fillId="34" borderId="14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right" textRotation="90"/>
    </xf>
    <xf numFmtId="2" fontId="39" fillId="34" borderId="0" xfId="0" applyNumberFormat="1" applyFont="1" applyFill="1" applyAlignment="1" applyProtection="1">
      <alignment horizontal="left" textRotation="90"/>
      <protection locked="0"/>
    </xf>
    <xf numFmtId="0" fontId="0" fillId="34" borderId="39" xfId="0" applyFont="1" applyFill="1" applyBorder="1" applyAlignment="1" applyProtection="1">
      <alignment horizontal="left"/>
      <protection locked="0"/>
    </xf>
    <xf numFmtId="1" fontId="32" fillId="34" borderId="14" xfId="0" applyNumberFormat="1" applyFont="1" applyFill="1" applyBorder="1" applyAlignment="1">
      <alignment horizontal="center"/>
    </xf>
    <xf numFmtId="0" fontId="0" fillId="34" borderId="56" xfId="0" applyFont="1" applyFill="1" applyBorder="1" applyAlignment="1" applyProtection="1">
      <alignment horizontal="left"/>
      <protection locked="0"/>
    </xf>
    <xf numFmtId="0" fontId="0" fillId="34" borderId="57" xfId="0" applyFont="1" applyFill="1" applyBorder="1" applyAlignment="1" applyProtection="1">
      <alignment horizontal="left"/>
      <protection locked="0"/>
    </xf>
    <xf numFmtId="1" fontId="32" fillId="34" borderId="21" xfId="0" applyNumberFormat="1" applyFont="1" applyFill="1" applyBorder="1" applyAlignment="1">
      <alignment horizontal="center"/>
    </xf>
    <xf numFmtId="0" fontId="0" fillId="34" borderId="58" xfId="0" applyFont="1" applyFill="1" applyBorder="1" applyAlignment="1" applyProtection="1">
      <alignment horizontal="left"/>
      <protection locked="0"/>
    </xf>
    <xf numFmtId="0" fontId="22" fillId="33" borderId="60" xfId="0" applyFont="1" applyFill="1" applyBorder="1" applyAlignment="1">
      <alignment horizontal="center"/>
    </xf>
    <xf numFmtId="0" fontId="3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ont="1" applyFill="1" applyAlignment="1" applyProtection="1">
      <alignment horizontal="center"/>
      <protection locked="0"/>
    </xf>
    <xf numFmtId="2" fontId="32" fillId="34" borderId="0" xfId="0" applyNumberFormat="1" applyFont="1" applyFill="1" applyAlignment="1">
      <alignment horizontal="center"/>
    </xf>
    <xf numFmtId="0" fontId="25" fillId="34" borderId="0" xfId="0" applyFont="1" applyFill="1" applyAlignment="1">
      <alignment horizontal="left"/>
    </xf>
    <xf numFmtId="1" fontId="32" fillId="34" borderId="0" xfId="0" applyNumberFormat="1" applyFont="1" applyFill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61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7" fillId="34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5" fillId="33" borderId="62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31" fillId="36" borderId="0" xfId="0" applyFont="1" applyFill="1" applyAlignment="1" applyProtection="1">
      <alignment horizontal="center"/>
      <protection locked="0"/>
    </xf>
    <xf numFmtId="0" fontId="22" fillId="33" borderId="12" xfId="0" applyFont="1" applyFill="1" applyBorder="1" applyAlignment="1">
      <alignment horizontal="center"/>
    </xf>
    <xf numFmtId="0" fontId="23" fillId="33" borderId="64" xfId="0" applyFont="1" applyFill="1" applyBorder="1" applyAlignment="1">
      <alignment horizontal="center"/>
    </xf>
    <xf numFmtId="0" fontId="23" fillId="33" borderId="65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66" xfId="0" applyFon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180" fontId="32" fillId="34" borderId="41" xfId="0" applyNumberFormat="1" applyFont="1" applyFill="1" applyBorder="1" applyAlignment="1">
      <alignment horizontal="center"/>
    </xf>
    <xf numFmtId="180" fontId="32" fillId="34" borderId="29" xfId="0" applyNumberFormat="1" applyFont="1" applyFill="1" applyBorder="1" applyAlignment="1">
      <alignment horizontal="center"/>
    </xf>
    <xf numFmtId="180" fontId="32" fillId="34" borderId="21" xfId="0" applyNumberFormat="1" applyFont="1" applyFill="1" applyBorder="1" applyAlignment="1">
      <alignment horizontal="center"/>
    </xf>
    <xf numFmtId="180" fontId="32" fillId="34" borderId="19" xfId="0" applyNumberFormat="1" applyFont="1" applyFill="1" applyBorder="1" applyAlignment="1">
      <alignment horizontal="center"/>
    </xf>
    <xf numFmtId="180" fontId="32" fillId="34" borderId="36" xfId="0" applyNumberFormat="1" applyFont="1" applyFill="1" applyBorder="1" applyAlignment="1">
      <alignment horizontal="center"/>
    </xf>
    <xf numFmtId="180" fontId="32" fillId="34" borderId="15" xfId="0" applyNumberFormat="1" applyFont="1" applyFill="1" applyBorder="1" applyAlignment="1">
      <alignment horizontal="center"/>
    </xf>
    <xf numFmtId="180" fontId="32" fillId="34" borderId="31" xfId="0" applyNumberFormat="1" applyFont="1" applyFill="1" applyBorder="1" applyAlignment="1">
      <alignment horizontal="center"/>
    </xf>
    <xf numFmtId="180" fontId="32" fillId="34" borderId="14" xfId="0" applyNumberFormat="1" applyFont="1" applyFill="1" applyBorder="1" applyAlignment="1">
      <alignment horizontal="center"/>
    </xf>
    <xf numFmtId="180" fontId="32" fillId="34" borderId="16" xfId="0" applyNumberFormat="1" applyFont="1" applyFill="1" applyBorder="1" applyAlignment="1">
      <alignment horizontal="center"/>
    </xf>
    <xf numFmtId="180" fontId="0" fillId="34" borderId="0" xfId="0" applyNumberForma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22" fillId="33" borderId="44" xfId="0" applyFont="1" applyFill="1" applyBorder="1" applyAlignment="1">
      <alignment horizontal="center"/>
    </xf>
    <xf numFmtId="0" fontId="23" fillId="33" borderId="57" xfId="0" applyFont="1" applyFill="1" applyBorder="1" applyAlignment="1">
      <alignment horizontal="center"/>
    </xf>
    <xf numFmtId="0" fontId="22" fillId="33" borderId="44" xfId="0" applyFont="1" applyFill="1" applyBorder="1" applyAlignment="1">
      <alignment horizontal="center"/>
    </xf>
    <xf numFmtId="0" fontId="23" fillId="33" borderId="34" xfId="0" applyFont="1" applyFill="1" applyBorder="1" applyAlignment="1">
      <alignment horizontal="center"/>
    </xf>
    <xf numFmtId="0" fontId="23" fillId="33" borderId="57" xfId="0" applyFont="1" applyFill="1" applyBorder="1" applyAlignment="1">
      <alignment horizontal="center"/>
    </xf>
    <xf numFmtId="0" fontId="22" fillId="33" borderId="32" xfId="0" applyFont="1" applyFill="1" applyBorder="1" applyAlignment="1">
      <alignment horizontal="center"/>
    </xf>
    <xf numFmtId="0" fontId="23" fillId="33" borderId="52" xfId="0" applyFont="1" applyFill="1" applyBorder="1" applyAlignment="1">
      <alignment horizontal="center"/>
    </xf>
    <xf numFmtId="0" fontId="23" fillId="33" borderId="59" xfId="0" applyFont="1" applyFill="1" applyBorder="1" applyAlignment="1">
      <alignment horizontal="center"/>
    </xf>
    <xf numFmtId="180" fontId="32" fillId="34" borderId="67" xfId="0" applyNumberFormat="1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2" fillId="33" borderId="68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3" fillId="33" borderId="60" xfId="0" applyFont="1" applyFill="1" applyBorder="1" applyAlignment="1">
      <alignment horizontal="center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17</xdr:row>
      <xdr:rowOff>0</xdr:rowOff>
    </xdr:from>
    <xdr:to>
      <xdr:col>11</xdr:col>
      <xdr:colOff>257175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362075" y="35623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1057275</xdr:colOff>
      <xdr:row>16</xdr:row>
      <xdr:rowOff>180975</xdr:rowOff>
    </xdr:from>
    <xdr:to>
      <xdr:col>2</xdr:col>
      <xdr:colOff>85725</xdr:colOff>
      <xdr:row>17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362075" y="3552825"/>
          <a:ext cx="857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17</xdr:row>
      <xdr:rowOff>0</xdr:rowOff>
    </xdr:from>
    <xdr:to>
      <xdr:col>1</xdr:col>
      <xdr:colOff>1057275</xdr:colOff>
      <xdr:row>17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1295400" y="3562350"/>
          <a:ext cx="666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17</xdr:row>
      <xdr:rowOff>114300</xdr:rowOff>
    </xdr:from>
    <xdr:to>
      <xdr:col>2</xdr:col>
      <xdr:colOff>85725</xdr:colOff>
      <xdr:row>17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304925" y="3676650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17</xdr:row>
      <xdr:rowOff>9525</xdr:rowOff>
    </xdr:from>
    <xdr:to>
      <xdr:col>5</xdr:col>
      <xdr:colOff>228600</xdr:colOff>
      <xdr:row>17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2933700" y="3571875"/>
          <a:ext cx="1047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19050</xdr:rowOff>
    </xdr:from>
    <xdr:to>
      <xdr:col>5</xdr:col>
      <xdr:colOff>123825</xdr:colOff>
      <xdr:row>17</xdr:row>
      <xdr:rowOff>133350</xdr:rowOff>
    </xdr:to>
    <xdr:sp>
      <xdr:nvSpPr>
        <xdr:cNvPr id="6" name="Line 6"/>
        <xdr:cNvSpPr>
          <a:spLocks/>
        </xdr:cNvSpPr>
      </xdr:nvSpPr>
      <xdr:spPr>
        <a:xfrm flipH="1">
          <a:off x="2847975" y="3581400"/>
          <a:ext cx="857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133350</xdr:rowOff>
    </xdr:from>
    <xdr:to>
      <xdr:col>5</xdr:col>
      <xdr:colOff>228600</xdr:colOff>
      <xdr:row>17</xdr:row>
      <xdr:rowOff>133350</xdr:rowOff>
    </xdr:to>
    <xdr:sp>
      <xdr:nvSpPr>
        <xdr:cNvPr id="7" name="Line 7"/>
        <xdr:cNvSpPr>
          <a:spLocks/>
        </xdr:cNvSpPr>
      </xdr:nvSpPr>
      <xdr:spPr>
        <a:xfrm>
          <a:off x="2857500" y="36957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17</xdr:row>
      <xdr:rowOff>0</xdr:rowOff>
    </xdr:from>
    <xdr:to>
      <xdr:col>9</xdr:col>
      <xdr:colOff>142875</xdr:colOff>
      <xdr:row>17</xdr:row>
      <xdr:rowOff>123825</xdr:rowOff>
    </xdr:to>
    <xdr:sp>
      <xdr:nvSpPr>
        <xdr:cNvPr id="8" name="Line 8"/>
        <xdr:cNvSpPr>
          <a:spLocks/>
        </xdr:cNvSpPr>
      </xdr:nvSpPr>
      <xdr:spPr>
        <a:xfrm>
          <a:off x="4438650" y="3562350"/>
          <a:ext cx="1047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17</xdr:row>
      <xdr:rowOff>9525</xdr:rowOff>
    </xdr:from>
    <xdr:to>
      <xdr:col>9</xdr:col>
      <xdr:colOff>38100</xdr:colOff>
      <xdr:row>17</xdr:row>
      <xdr:rowOff>123825</xdr:rowOff>
    </xdr:to>
    <xdr:sp>
      <xdr:nvSpPr>
        <xdr:cNvPr id="9" name="Line 9"/>
        <xdr:cNvSpPr>
          <a:spLocks/>
        </xdr:cNvSpPr>
      </xdr:nvSpPr>
      <xdr:spPr>
        <a:xfrm flipH="1">
          <a:off x="4352925" y="3571875"/>
          <a:ext cx="857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17</xdr:row>
      <xdr:rowOff>123825</xdr:rowOff>
    </xdr:from>
    <xdr:to>
      <xdr:col>9</xdr:col>
      <xdr:colOff>142875</xdr:colOff>
      <xdr:row>17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4362450" y="3686175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152400</xdr:rowOff>
    </xdr:from>
    <xdr:to>
      <xdr:col>3</xdr:col>
      <xdr:colOff>209550</xdr:colOff>
      <xdr:row>17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2085975" y="352425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152400</xdr:rowOff>
    </xdr:from>
    <xdr:to>
      <xdr:col>3</xdr:col>
      <xdr:colOff>209550</xdr:colOff>
      <xdr:row>17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2085975" y="352425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152400</xdr:rowOff>
    </xdr:from>
    <xdr:to>
      <xdr:col>3</xdr:col>
      <xdr:colOff>209550</xdr:colOff>
      <xdr:row>17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2085975" y="352425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16</xdr:row>
      <xdr:rowOff>152400</xdr:rowOff>
    </xdr:from>
    <xdr:to>
      <xdr:col>5</xdr:col>
      <xdr:colOff>76200</xdr:colOff>
      <xdr:row>17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2886075" y="352425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152400</xdr:rowOff>
    </xdr:from>
    <xdr:to>
      <xdr:col>3</xdr:col>
      <xdr:colOff>209550</xdr:colOff>
      <xdr:row>17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2085975" y="352425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16</xdr:row>
      <xdr:rowOff>161925</xdr:rowOff>
    </xdr:from>
    <xdr:to>
      <xdr:col>7</xdr:col>
      <xdr:colOff>142875</xdr:colOff>
      <xdr:row>17</xdr:row>
      <xdr:rowOff>38100</xdr:rowOff>
    </xdr:to>
    <xdr:sp>
      <xdr:nvSpPr>
        <xdr:cNvPr id="16" name="Line 16"/>
        <xdr:cNvSpPr>
          <a:spLocks/>
        </xdr:cNvSpPr>
      </xdr:nvSpPr>
      <xdr:spPr>
        <a:xfrm>
          <a:off x="3771900" y="35337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161925</xdr:rowOff>
    </xdr:from>
    <xdr:to>
      <xdr:col>9</xdr:col>
      <xdr:colOff>9525</xdr:colOff>
      <xdr:row>17</xdr:row>
      <xdr:rowOff>38100</xdr:rowOff>
    </xdr:to>
    <xdr:sp>
      <xdr:nvSpPr>
        <xdr:cNvPr id="17" name="Line 17"/>
        <xdr:cNvSpPr>
          <a:spLocks/>
        </xdr:cNvSpPr>
      </xdr:nvSpPr>
      <xdr:spPr>
        <a:xfrm>
          <a:off x="4410075" y="35337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161925</xdr:rowOff>
    </xdr:from>
    <xdr:to>
      <xdr:col>9</xdr:col>
      <xdr:colOff>9525</xdr:colOff>
      <xdr:row>17</xdr:row>
      <xdr:rowOff>38100</xdr:rowOff>
    </xdr:to>
    <xdr:sp>
      <xdr:nvSpPr>
        <xdr:cNvPr id="18" name="Line 18"/>
        <xdr:cNvSpPr>
          <a:spLocks/>
        </xdr:cNvSpPr>
      </xdr:nvSpPr>
      <xdr:spPr>
        <a:xfrm>
          <a:off x="4410075" y="35337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180975</xdr:rowOff>
    </xdr:from>
    <xdr:to>
      <xdr:col>3</xdr:col>
      <xdr:colOff>304800</xdr:colOff>
      <xdr:row>17</xdr:row>
      <xdr:rowOff>9525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943100" y="33623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333375</xdr:colOff>
      <xdr:row>17</xdr:row>
      <xdr:rowOff>0</xdr:rowOff>
    </xdr:from>
    <xdr:to>
      <xdr:col>5</xdr:col>
      <xdr:colOff>133350</xdr:colOff>
      <xdr:row>18</xdr:row>
      <xdr:rowOff>19050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705100" y="35623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238125</xdr:colOff>
      <xdr:row>17</xdr:row>
      <xdr:rowOff>38100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3629025" y="33909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200025</xdr:colOff>
      <xdr:row>16</xdr:row>
      <xdr:rowOff>180975</xdr:rowOff>
    </xdr:from>
    <xdr:to>
      <xdr:col>9</xdr:col>
      <xdr:colOff>66675</xdr:colOff>
      <xdr:row>18</xdr:row>
      <xdr:rowOff>9525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4229100" y="35528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1057275</xdr:colOff>
      <xdr:row>20</xdr:row>
      <xdr:rowOff>9525</xdr:rowOff>
    </xdr:from>
    <xdr:to>
      <xdr:col>11</xdr:col>
      <xdr:colOff>257175</xdr:colOff>
      <xdr:row>20</xdr:row>
      <xdr:rowOff>9525</xdr:rowOff>
    </xdr:to>
    <xdr:sp>
      <xdr:nvSpPr>
        <xdr:cNvPr id="23" name="Line 23"/>
        <xdr:cNvSpPr>
          <a:spLocks/>
        </xdr:cNvSpPr>
      </xdr:nvSpPr>
      <xdr:spPr>
        <a:xfrm>
          <a:off x="1362075" y="4143375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1057275</xdr:colOff>
      <xdr:row>20</xdr:row>
      <xdr:rowOff>0</xdr:rowOff>
    </xdr:from>
    <xdr:to>
      <xdr:col>2</xdr:col>
      <xdr:colOff>95250</xdr:colOff>
      <xdr:row>20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1362075" y="4133850"/>
          <a:ext cx="952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20</xdr:row>
      <xdr:rowOff>9525</xdr:rowOff>
    </xdr:from>
    <xdr:to>
      <xdr:col>1</xdr:col>
      <xdr:colOff>1057275</xdr:colOff>
      <xdr:row>20</xdr:row>
      <xdr:rowOff>123825</xdr:rowOff>
    </xdr:to>
    <xdr:sp>
      <xdr:nvSpPr>
        <xdr:cNvPr id="25" name="Line 25"/>
        <xdr:cNvSpPr>
          <a:spLocks/>
        </xdr:cNvSpPr>
      </xdr:nvSpPr>
      <xdr:spPr>
        <a:xfrm flipH="1">
          <a:off x="1304925" y="4143375"/>
          <a:ext cx="571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20</xdr:row>
      <xdr:rowOff>123825</xdr:rowOff>
    </xdr:from>
    <xdr:to>
      <xdr:col>2</xdr:col>
      <xdr:colOff>95250</xdr:colOff>
      <xdr:row>20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1314450" y="4257675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20</xdr:row>
      <xdr:rowOff>19050</xdr:rowOff>
    </xdr:from>
    <xdr:to>
      <xdr:col>5</xdr:col>
      <xdr:colOff>238125</xdr:colOff>
      <xdr:row>20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2943225" y="4152900"/>
          <a:ext cx="1047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20</xdr:row>
      <xdr:rowOff>28575</xdr:rowOff>
    </xdr:from>
    <xdr:to>
      <xdr:col>5</xdr:col>
      <xdr:colOff>133350</xdr:colOff>
      <xdr:row>20</xdr:row>
      <xdr:rowOff>142875</xdr:rowOff>
    </xdr:to>
    <xdr:sp>
      <xdr:nvSpPr>
        <xdr:cNvPr id="28" name="Line 28"/>
        <xdr:cNvSpPr>
          <a:spLocks/>
        </xdr:cNvSpPr>
      </xdr:nvSpPr>
      <xdr:spPr>
        <a:xfrm flipH="1">
          <a:off x="2857500" y="4162425"/>
          <a:ext cx="857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20</xdr:row>
      <xdr:rowOff>142875</xdr:rowOff>
    </xdr:from>
    <xdr:to>
      <xdr:col>5</xdr:col>
      <xdr:colOff>238125</xdr:colOff>
      <xdr:row>20</xdr:row>
      <xdr:rowOff>142875</xdr:rowOff>
    </xdr:to>
    <xdr:sp>
      <xdr:nvSpPr>
        <xdr:cNvPr id="29" name="Line 29"/>
        <xdr:cNvSpPr>
          <a:spLocks/>
        </xdr:cNvSpPr>
      </xdr:nvSpPr>
      <xdr:spPr>
        <a:xfrm>
          <a:off x="2867025" y="4276725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20</xdr:row>
      <xdr:rowOff>9525</xdr:rowOff>
    </xdr:from>
    <xdr:to>
      <xdr:col>9</xdr:col>
      <xdr:colOff>152400</xdr:colOff>
      <xdr:row>20</xdr:row>
      <xdr:rowOff>133350</xdr:rowOff>
    </xdr:to>
    <xdr:sp>
      <xdr:nvSpPr>
        <xdr:cNvPr id="30" name="Line 30"/>
        <xdr:cNvSpPr>
          <a:spLocks/>
        </xdr:cNvSpPr>
      </xdr:nvSpPr>
      <xdr:spPr>
        <a:xfrm>
          <a:off x="4448175" y="4143375"/>
          <a:ext cx="1047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20</xdr:row>
      <xdr:rowOff>19050</xdr:rowOff>
    </xdr:from>
    <xdr:to>
      <xdr:col>9</xdr:col>
      <xdr:colOff>47625</xdr:colOff>
      <xdr:row>20</xdr:row>
      <xdr:rowOff>133350</xdr:rowOff>
    </xdr:to>
    <xdr:sp>
      <xdr:nvSpPr>
        <xdr:cNvPr id="31" name="Line 31"/>
        <xdr:cNvSpPr>
          <a:spLocks/>
        </xdr:cNvSpPr>
      </xdr:nvSpPr>
      <xdr:spPr>
        <a:xfrm flipH="1">
          <a:off x="4362450" y="4152900"/>
          <a:ext cx="857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20</xdr:row>
      <xdr:rowOff>133350</xdr:rowOff>
    </xdr:from>
    <xdr:to>
      <xdr:col>9</xdr:col>
      <xdr:colOff>152400</xdr:colOff>
      <xdr:row>20</xdr:row>
      <xdr:rowOff>133350</xdr:rowOff>
    </xdr:to>
    <xdr:sp>
      <xdr:nvSpPr>
        <xdr:cNvPr id="32" name="Line 32"/>
        <xdr:cNvSpPr>
          <a:spLocks/>
        </xdr:cNvSpPr>
      </xdr:nvSpPr>
      <xdr:spPr>
        <a:xfrm>
          <a:off x="4371975" y="42672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161925</xdr:rowOff>
    </xdr:from>
    <xdr:to>
      <xdr:col>3</xdr:col>
      <xdr:colOff>219075</xdr:colOff>
      <xdr:row>20</xdr:row>
      <xdr:rowOff>38100</xdr:rowOff>
    </xdr:to>
    <xdr:sp>
      <xdr:nvSpPr>
        <xdr:cNvPr id="33" name="Line 33"/>
        <xdr:cNvSpPr>
          <a:spLocks/>
        </xdr:cNvSpPr>
      </xdr:nvSpPr>
      <xdr:spPr>
        <a:xfrm>
          <a:off x="2095500" y="41052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161925</xdr:rowOff>
    </xdr:from>
    <xdr:to>
      <xdr:col>3</xdr:col>
      <xdr:colOff>219075</xdr:colOff>
      <xdr:row>20</xdr:row>
      <xdr:rowOff>38100</xdr:rowOff>
    </xdr:to>
    <xdr:sp>
      <xdr:nvSpPr>
        <xdr:cNvPr id="34" name="Line 34"/>
        <xdr:cNvSpPr>
          <a:spLocks/>
        </xdr:cNvSpPr>
      </xdr:nvSpPr>
      <xdr:spPr>
        <a:xfrm>
          <a:off x="2095500" y="41052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161925</xdr:rowOff>
    </xdr:from>
    <xdr:to>
      <xdr:col>3</xdr:col>
      <xdr:colOff>219075</xdr:colOff>
      <xdr:row>20</xdr:row>
      <xdr:rowOff>38100</xdr:rowOff>
    </xdr:to>
    <xdr:sp>
      <xdr:nvSpPr>
        <xdr:cNvPr id="35" name="Line 35"/>
        <xdr:cNvSpPr>
          <a:spLocks/>
        </xdr:cNvSpPr>
      </xdr:nvSpPr>
      <xdr:spPr>
        <a:xfrm>
          <a:off x="2095500" y="41052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19</xdr:row>
      <xdr:rowOff>161925</xdr:rowOff>
    </xdr:from>
    <xdr:to>
      <xdr:col>5</xdr:col>
      <xdr:colOff>85725</xdr:colOff>
      <xdr:row>20</xdr:row>
      <xdr:rowOff>38100</xdr:rowOff>
    </xdr:to>
    <xdr:sp>
      <xdr:nvSpPr>
        <xdr:cNvPr id="36" name="Line 36"/>
        <xdr:cNvSpPr>
          <a:spLocks/>
        </xdr:cNvSpPr>
      </xdr:nvSpPr>
      <xdr:spPr>
        <a:xfrm>
          <a:off x="2895600" y="41052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161925</xdr:rowOff>
    </xdr:from>
    <xdr:to>
      <xdr:col>3</xdr:col>
      <xdr:colOff>219075</xdr:colOff>
      <xdr:row>20</xdr:row>
      <xdr:rowOff>38100</xdr:rowOff>
    </xdr:to>
    <xdr:sp>
      <xdr:nvSpPr>
        <xdr:cNvPr id="37" name="Line 37"/>
        <xdr:cNvSpPr>
          <a:spLocks/>
        </xdr:cNvSpPr>
      </xdr:nvSpPr>
      <xdr:spPr>
        <a:xfrm>
          <a:off x="2095500" y="41052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19</xdr:row>
      <xdr:rowOff>171450</xdr:rowOff>
    </xdr:from>
    <xdr:to>
      <xdr:col>7</xdr:col>
      <xdr:colOff>152400</xdr:colOff>
      <xdr:row>20</xdr:row>
      <xdr:rowOff>47625</xdr:rowOff>
    </xdr:to>
    <xdr:sp>
      <xdr:nvSpPr>
        <xdr:cNvPr id="38" name="Line 38"/>
        <xdr:cNvSpPr>
          <a:spLocks/>
        </xdr:cNvSpPr>
      </xdr:nvSpPr>
      <xdr:spPr>
        <a:xfrm>
          <a:off x="3781425" y="411480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171450</xdr:rowOff>
    </xdr:from>
    <xdr:to>
      <xdr:col>9</xdr:col>
      <xdr:colOff>19050</xdr:colOff>
      <xdr:row>20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4419600" y="411480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171450</xdr:rowOff>
    </xdr:from>
    <xdr:to>
      <xdr:col>9</xdr:col>
      <xdr:colOff>19050</xdr:colOff>
      <xdr:row>20</xdr:row>
      <xdr:rowOff>47625</xdr:rowOff>
    </xdr:to>
    <xdr:sp>
      <xdr:nvSpPr>
        <xdr:cNvPr id="40" name="Line 40"/>
        <xdr:cNvSpPr>
          <a:spLocks/>
        </xdr:cNvSpPr>
      </xdr:nvSpPr>
      <xdr:spPr>
        <a:xfrm>
          <a:off x="4419600" y="411480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19</xdr:row>
      <xdr:rowOff>0</xdr:rowOff>
    </xdr:from>
    <xdr:to>
      <xdr:col>3</xdr:col>
      <xdr:colOff>314325</xdr:colOff>
      <xdr:row>20</xdr:row>
      <xdr:rowOff>19050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952625" y="39433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342900</xdr:colOff>
      <xdr:row>20</xdr:row>
      <xdr:rowOff>9525</xdr:rowOff>
    </xdr:from>
    <xdr:to>
      <xdr:col>5</xdr:col>
      <xdr:colOff>142875</xdr:colOff>
      <xdr:row>21</xdr:row>
      <xdr:rowOff>28575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2714625" y="414337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7</xdr:col>
      <xdr:colOff>9525</xdr:colOff>
      <xdr:row>19</xdr:row>
      <xdr:rowOff>28575</xdr:rowOff>
    </xdr:from>
    <xdr:to>
      <xdr:col>7</xdr:col>
      <xdr:colOff>247650</xdr:colOff>
      <xdr:row>20</xdr:row>
      <xdr:rowOff>47625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3638550" y="39719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8</xdr:col>
      <xdr:colOff>209550</xdr:colOff>
      <xdr:row>20</xdr:row>
      <xdr:rowOff>0</xdr:rowOff>
    </xdr:from>
    <xdr:to>
      <xdr:col>9</xdr:col>
      <xdr:colOff>76200</xdr:colOff>
      <xdr:row>21</xdr:row>
      <xdr:rowOff>19050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4238625" y="41338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11</xdr:col>
      <xdr:colOff>257175</xdr:colOff>
      <xdr:row>23</xdr:row>
      <xdr:rowOff>9525</xdr:rowOff>
    </xdr:to>
    <xdr:sp>
      <xdr:nvSpPr>
        <xdr:cNvPr id="45" name="Line 45"/>
        <xdr:cNvSpPr>
          <a:spLocks/>
        </xdr:cNvSpPr>
      </xdr:nvSpPr>
      <xdr:spPr>
        <a:xfrm>
          <a:off x="1362075" y="4714875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123825</xdr:rowOff>
    </xdr:to>
    <xdr:sp>
      <xdr:nvSpPr>
        <xdr:cNvPr id="46" name="Line 46"/>
        <xdr:cNvSpPr>
          <a:spLocks/>
        </xdr:cNvSpPr>
      </xdr:nvSpPr>
      <xdr:spPr>
        <a:xfrm>
          <a:off x="1362075" y="4705350"/>
          <a:ext cx="1047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23</xdr:row>
      <xdr:rowOff>9525</xdr:rowOff>
    </xdr:from>
    <xdr:to>
      <xdr:col>2</xdr:col>
      <xdr:colOff>0</xdr:colOff>
      <xdr:row>23</xdr:row>
      <xdr:rowOff>123825</xdr:rowOff>
    </xdr:to>
    <xdr:sp>
      <xdr:nvSpPr>
        <xdr:cNvPr id="47" name="Line 47"/>
        <xdr:cNvSpPr>
          <a:spLocks/>
        </xdr:cNvSpPr>
      </xdr:nvSpPr>
      <xdr:spPr>
        <a:xfrm flipH="1">
          <a:off x="1314450" y="4714875"/>
          <a:ext cx="476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23</xdr:row>
      <xdr:rowOff>123825</xdr:rowOff>
    </xdr:from>
    <xdr:to>
      <xdr:col>2</xdr:col>
      <xdr:colOff>104775</xdr:colOff>
      <xdr:row>23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323975" y="4829175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23</xdr:row>
      <xdr:rowOff>19050</xdr:rowOff>
    </xdr:from>
    <xdr:to>
      <xdr:col>5</xdr:col>
      <xdr:colOff>247650</xdr:colOff>
      <xdr:row>23</xdr:row>
      <xdr:rowOff>142875</xdr:rowOff>
    </xdr:to>
    <xdr:sp>
      <xdr:nvSpPr>
        <xdr:cNvPr id="49" name="Line 49"/>
        <xdr:cNvSpPr>
          <a:spLocks/>
        </xdr:cNvSpPr>
      </xdr:nvSpPr>
      <xdr:spPr>
        <a:xfrm>
          <a:off x="2952750" y="4724400"/>
          <a:ext cx="1047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23</xdr:row>
      <xdr:rowOff>28575</xdr:rowOff>
    </xdr:from>
    <xdr:to>
      <xdr:col>5</xdr:col>
      <xdr:colOff>142875</xdr:colOff>
      <xdr:row>23</xdr:row>
      <xdr:rowOff>142875</xdr:rowOff>
    </xdr:to>
    <xdr:sp>
      <xdr:nvSpPr>
        <xdr:cNvPr id="50" name="Line 50"/>
        <xdr:cNvSpPr>
          <a:spLocks/>
        </xdr:cNvSpPr>
      </xdr:nvSpPr>
      <xdr:spPr>
        <a:xfrm flipH="1">
          <a:off x="2867025" y="4733925"/>
          <a:ext cx="857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23</xdr:row>
      <xdr:rowOff>142875</xdr:rowOff>
    </xdr:from>
    <xdr:to>
      <xdr:col>5</xdr:col>
      <xdr:colOff>247650</xdr:colOff>
      <xdr:row>23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2876550" y="4848225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23</xdr:row>
      <xdr:rowOff>9525</xdr:rowOff>
    </xdr:from>
    <xdr:to>
      <xdr:col>9</xdr:col>
      <xdr:colOff>161925</xdr:colOff>
      <xdr:row>23</xdr:row>
      <xdr:rowOff>133350</xdr:rowOff>
    </xdr:to>
    <xdr:sp>
      <xdr:nvSpPr>
        <xdr:cNvPr id="52" name="Line 52"/>
        <xdr:cNvSpPr>
          <a:spLocks/>
        </xdr:cNvSpPr>
      </xdr:nvSpPr>
      <xdr:spPr>
        <a:xfrm>
          <a:off x="4457700" y="4714875"/>
          <a:ext cx="1047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23</xdr:row>
      <xdr:rowOff>19050</xdr:rowOff>
    </xdr:from>
    <xdr:to>
      <xdr:col>9</xdr:col>
      <xdr:colOff>57150</xdr:colOff>
      <xdr:row>23</xdr:row>
      <xdr:rowOff>133350</xdr:rowOff>
    </xdr:to>
    <xdr:sp>
      <xdr:nvSpPr>
        <xdr:cNvPr id="53" name="Line 53"/>
        <xdr:cNvSpPr>
          <a:spLocks/>
        </xdr:cNvSpPr>
      </xdr:nvSpPr>
      <xdr:spPr>
        <a:xfrm flipH="1">
          <a:off x="4371975" y="4724400"/>
          <a:ext cx="857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23</xdr:row>
      <xdr:rowOff>133350</xdr:rowOff>
    </xdr:from>
    <xdr:to>
      <xdr:col>9</xdr:col>
      <xdr:colOff>161925</xdr:colOff>
      <xdr:row>23</xdr:row>
      <xdr:rowOff>133350</xdr:rowOff>
    </xdr:to>
    <xdr:sp>
      <xdr:nvSpPr>
        <xdr:cNvPr id="54" name="Line 54"/>
        <xdr:cNvSpPr>
          <a:spLocks/>
        </xdr:cNvSpPr>
      </xdr:nvSpPr>
      <xdr:spPr>
        <a:xfrm>
          <a:off x="4381500" y="48387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22</xdr:row>
      <xdr:rowOff>161925</xdr:rowOff>
    </xdr:from>
    <xdr:to>
      <xdr:col>3</xdr:col>
      <xdr:colOff>228600</xdr:colOff>
      <xdr:row>23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2105025" y="46767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22</xdr:row>
      <xdr:rowOff>161925</xdr:rowOff>
    </xdr:from>
    <xdr:to>
      <xdr:col>3</xdr:col>
      <xdr:colOff>228600</xdr:colOff>
      <xdr:row>23</xdr:row>
      <xdr:rowOff>38100</xdr:rowOff>
    </xdr:to>
    <xdr:sp>
      <xdr:nvSpPr>
        <xdr:cNvPr id="56" name="Line 56"/>
        <xdr:cNvSpPr>
          <a:spLocks/>
        </xdr:cNvSpPr>
      </xdr:nvSpPr>
      <xdr:spPr>
        <a:xfrm>
          <a:off x="2105025" y="46767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22</xdr:row>
      <xdr:rowOff>161925</xdr:rowOff>
    </xdr:from>
    <xdr:to>
      <xdr:col>3</xdr:col>
      <xdr:colOff>228600</xdr:colOff>
      <xdr:row>23</xdr:row>
      <xdr:rowOff>38100</xdr:rowOff>
    </xdr:to>
    <xdr:sp>
      <xdr:nvSpPr>
        <xdr:cNvPr id="57" name="Line 57"/>
        <xdr:cNvSpPr>
          <a:spLocks/>
        </xdr:cNvSpPr>
      </xdr:nvSpPr>
      <xdr:spPr>
        <a:xfrm>
          <a:off x="2105025" y="46767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22</xdr:row>
      <xdr:rowOff>161925</xdr:rowOff>
    </xdr:from>
    <xdr:to>
      <xdr:col>5</xdr:col>
      <xdr:colOff>95250</xdr:colOff>
      <xdr:row>23</xdr:row>
      <xdr:rowOff>38100</xdr:rowOff>
    </xdr:to>
    <xdr:sp>
      <xdr:nvSpPr>
        <xdr:cNvPr id="58" name="Line 58"/>
        <xdr:cNvSpPr>
          <a:spLocks/>
        </xdr:cNvSpPr>
      </xdr:nvSpPr>
      <xdr:spPr>
        <a:xfrm>
          <a:off x="2905125" y="46767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22</xdr:row>
      <xdr:rowOff>161925</xdr:rowOff>
    </xdr:from>
    <xdr:to>
      <xdr:col>3</xdr:col>
      <xdr:colOff>228600</xdr:colOff>
      <xdr:row>23</xdr:row>
      <xdr:rowOff>38100</xdr:rowOff>
    </xdr:to>
    <xdr:sp>
      <xdr:nvSpPr>
        <xdr:cNvPr id="59" name="Line 59"/>
        <xdr:cNvSpPr>
          <a:spLocks/>
        </xdr:cNvSpPr>
      </xdr:nvSpPr>
      <xdr:spPr>
        <a:xfrm>
          <a:off x="2105025" y="46767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171450</xdr:rowOff>
    </xdr:from>
    <xdr:to>
      <xdr:col>7</xdr:col>
      <xdr:colOff>161925</xdr:colOff>
      <xdr:row>23</xdr:row>
      <xdr:rowOff>47625</xdr:rowOff>
    </xdr:to>
    <xdr:sp>
      <xdr:nvSpPr>
        <xdr:cNvPr id="60" name="Line 60"/>
        <xdr:cNvSpPr>
          <a:spLocks/>
        </xdr:cNvSpPr>
      </xdr:nvSpPr>
      <xdr:spPr>
        <a:xfrm>
          <a:off x="3790950" y="468630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22</xdr:row>
      <xdr:rowOff>171450</xdr:rowOff>
    </xdr:from>
    <xdr:to>
      <xdr:col>9</xdr:col>
      <xdr:colOff>28575</xdr:colOff>
      <xdr:row>23</xdr:row>
      <xdr:rowOff>47625</xdr:rowOff>
    </xdr:to>
    <xdr:sp>
      <xdr:nvSpPr>
        <xdr:cNvPr id="61" name="Line 61"/>
        <xdr:cNvSpPr>
          <a:spLocks/>
        </xdr:cNvSpPr>
      </xdr:nvSpPr>
      <xdr:spPr>
        <a:xfrm>
          <a:off x="4429125" y="468630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22</xdr:row>
      <xdr:rowOff>171450</xdr:rowOff>
    </xdr:from>
    <xdr:to>
      <xdr:col>9</xdr:col>
      <xdr:colOff>28575</xdr:colOff>
      <xdr:row>23</xdr:row>
      <xdr:rowOff>47625</xdr:rowOff>
    </xdr:to>
    <xdr:sp>
      <xdr:nvSpPr>
        <xdr:cNvPr id="62" name="Line 62"/>
        <xdr:cNvSpPr>
          <a:spLocks/>
        </xdr:cNvSpPr>
      </xdr:nvSpPr>
      <xdr:spPr>
        <a:xfrm>
          <a:off x="4429125" y="468630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22</xdr:row>
      <xdr:rowOff>0</xdr:rowOff>
    </xdr:from>
    <xdr:to>
      <xdr:col>3</xdr:col>
      <xdr:colOff>323850</xdr:colOff>
      <xdr:row>23</xdr:row>
      <xdr:rowOff>19050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1962150" y="45148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4</xdr:col>
      <xdr:colOff>352425</xdr:colOff>
      <xdr:row>23</xdr:row>
      <xdr:rowOff>9525</xdr:rowOff>
    </xdr:from>
    <xdr:to>
      <xdr:col>5</xdr:col>
      <xdr:colOff>152400</xdr:colOff>
      <xdr:row>24</xdr:row>
      <xdr:rowOff>28575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2724150" y="471487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7</xdr:col>
      <xdr:colOff>19050</xdr:colOff>
      <xdr:row>22</xdr:row>
      <xdr:rowOff>28575</xdr:rowOff>
    </xdr:from>
    <xdr:to>
      <xdr:col>7</xdr:col>
      <xdr:colOff>257175</xdr:colOff>
      <xdr:row>23</xdr:row>
      <xdr:rowOff>47625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3648075" y="45434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8</xdr:col>
      <xdr:colOff>190500</xdr:colOff>
      <xdr:row>22</xdr:row>
      <xdr:rowOff>180975</xdr:rowOff>
    </xdr:from>
    <xdr:to>
      <xdr:col>9</xdr:col>
      <xdr:colOff>57150</xdr:colOff>
      <xdr:row>24</xdr:row>
      <xdr:rowOff>9525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4219575" y="46958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</xdr:col>
      <xdr:colOff>1057275</xdr:colOff>
      <xdr:row>26</xdr:row>
      <xdr:rowOff>0</xdr:rowOff>
    </xdr:from>
    <xdr:to>
      <xdr:col>11</xdr:col>
      <xdr:colOff>257175</xdr:colOff>
      <xdr:row>26</xdr:row>
      <xdr:rowOff>0</xdr:rowOff>
    </xdr:to>
    <xdr:sp>
      <xdr:nvSpPr>
        <xdr:cNvPr id="67" name="Line 67"/>
        <xdr:cNvSpPr>
          <a:spLocks/>
        </xdr:cNvSpPr>
      </xdr:nvSpPr>
      <xdr:spPr>
        <a:xfrm>
          <a:off x="1362075" y="52768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1057275</xdr:colOff>
      <xdr:row>25</xdr:row>
      <xdr:rowOff>180975</xdr:rowOff>
    </xdr:from>
    <xdr:to>
      <xdr:col>2</xdr:col>
      <xdr:colOff>95250</xdr:colOff>
      <xdr:row>26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1362075" y="5267325"/>
          <a:ext cx="952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26</xdr:row>
      <xdr:rowOff>0</xdr:rowOff>
    </xdr:from>
    <xdr:to>
      <xdr:col>1</xdr:col>
      <xdr:colOff>1057275</xdr:colOff>
      <xdr:row>26</xdr:row>
      <xdr:rowOff>114300</xdr:rowOff>
    </xdr:to>
    <xdr:sp>
      <xdr:nvSpPr>
        <xdr:cNvPr id="69" name="Line 69"/>
        <xdr:cNvSpPr>
          <a:spLocks/>
        </xdr:cNvSpPr>
      </xdr:nvSpPr>
      <xdr:spPr>
        <a:xfrm flipH="1">
          <a:off x="1304925" y="5276850"/>
          <a:ext cx="571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26</xdr:row>
      <xdr:rowOff>114300</xdr:rowOff>
    </xdr:from>
    <xdr:to>
      <xdr:col>2</xdr:col>
      <xdr:colOff>95250</xdr:colOff>
      <xdr:row>26</xdr:row>
      <xdr:rowOff>114300</xdr:rowOff>
    </xdr:to>
    <xdr:sp>
      <xdr:nvSpPr>
        <xdr:cNvPr id="70" name="Line 70"/>
        <xdr:cNvSpPr>
          <a:spLocks/>
        </xdr:cNvSpPr>
      </xdr:nvSpPr>
      <xdr:spPr>
        <a:xfrm>
          <a:off x="1314450" y="5391150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9525</xdr:rowOff>
    </xdr:from>
    <xdr:to>
      <xdr:col>5</xdr:col>
      <xdr:colOff>238125</xdr:colOff>
      <xdr:row>26</xdr:row>
      <xdr:rowOff>133350</xdr:rowOff>
    </xdr:to>
    <xdr:sp>
      <xdr:nvSpPr>
        <xdr:cNvPr id="71" name="Line 71"/>
        <xdr:cNvSpPr>
          <a:spLocks/>
        </xdr:cNvSpPr>
      </xdr:nvSpPr>
      <xdr:spPr>
        <a:xfrm>
          <a:off x="2943225" y="5286375"/>
          <a:ext cx="1047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26</xdr:row>
      <xdr:rowOff>19050</xdr:rowOff>
    </xdr:from>
    <xdr:to>
      <xdr:col>5</xdr:col>
      <xdr:colOff>133350</xdr:colOff>
      <xdr:row>26</xdr:row>
      <xdr:rowOff>133350</xdr:rowOff>
    </xdr:to>
    <xdr:sp>
      <xdr:nvSpPr>
        <xdr:cNvPr id="72" name="Line 72"/>
        <xdr:cNvSpPr>
          <a:spLocks/>
        </xdr:cNvSpPr>
      </xdr:nvSpPr>
      <xdr:spPr>
        <a:xfrm flipH="1">
          <a:off x="2857500" y="5295900"/>
          <a:ext cx="857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26</xdr:row>
      <xdr:rowOff>133350</xdr:rowOff>
    </xdr:from>
    <xdr:to>
      <xdr:col>5</xdr:col>
      <xdr:colOff>238125</xdr:colOff>
      <xdr:row>26</xdr:row>
      <xdr:rowOff>133350</xdr:rowOff>
    </xdr:to>
    <xdr:sp>
      <xdr:nvSpPr>
        <xdr:cNvPr id="73" name="Line 73"/>
        <xdr:cNvSpPr>
          <a:spLocks/>
        </xdr:cNvSpPr>
      </xdr:nvSpPr>
      <xdr:spPr>
        <a:xfrm>
          <a:off x="2867025" y="54102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0</xdr:rowOff>
    </xdr:from>
    <xdr:to>
      <xdr:col>9</xdr:col>
      <xdr:colOff>152400</xdr:colOff>
      <xdr:row>26</xdr:row>
      <xdr:rowOff>123825</xdr:rowOff>
    </xdr:to>
    <xdr:sp>
      <xdr:nvSpPr>
        <xdr:cNvPr id="74" name="Line 74"/>
        <xdr:cNvSpPr>
          <a:spLocks/>
        </xdr:cNvSpPr>
      </xdr:nvSpPr>
      <xdr:spPr>
        <a:xfrm>
          <a:off x="4448175" y="5276850"/>
          <a:ext cx="1047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26</xdr:row>
      <xdr:rowOff>9525</xdr:rowOff>
    </xdr:from>
    <xdr:to>
      <xdr:col>9</xdr:col>
      <xdr:colOff>47625</xdr:colOff>
      <xdr:row>26</xdr:row>
      <xdr:rowOff>123825</xdr:rowOff>
    </xdr:to>
    <xdr:sp>
      <xdr:nvSpPr>
        <xdr:cNvPr id="75" name="Line 75"/>
        <xdr:cNvSpPr>
          <a:spLocks/>
        </xdr:cNvSpPr>
      </xdr:nvSpPr>
      <xdr:spPr>
        <a:xfrm flipH="1">
          <a:off x="4362450" y="5286375"/>
          <a:ext cx="857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123825</xdr:rowOff>
    </xdr:from>
    <xdr:to>
      <xdr:col>9</xdr:col>
      <xdr:colOff>152400</xdr:colOff>
      <xdr:row>26</xdr:row>
      <xdr:rowOff>123825</xdr:rowOff>
    </xdr:to>
    <xdr:sp>
      <xdr:nvSpPr>
        <xdr:cNvPr id="76" name="Line 76"/>
        <xdr:cNvSpPr>
          <a:spLocks/>
        </xdr:cNvSpPr>
      </xdr:nvSpPr>
      <xdr:spPr>
        <a:xfrm>
          <a:off x="4371975" y="5400675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152400</xdr:rowOff>
    </xdr:from>
    <xdr:to>
      <xdr:col>3</xdr:col>
      <xdr:colOff>219075</xdr:colOff>
      <xdr:row>26</xdr:row>
      <xdr:rowOff>28575</xdr:rowOff>
    </xdr:to>
    <xdr:sp>
      <xdr:nvSpPr>
        <xdr:cNvPr id="77" name="Line 77"/>
        <xdr:cNvSpPr>
          <a:spLocks/>
        </xdr:cNvSpPr>
      </xdr:nvSpPr>
      <xdr:spPr>
        <a:xfrm>
          <a:off x="2095500" y="523875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152400</xdr:rowOff>
    </xdr:from>
    <xdr:to>
      <xdr:col>3</xdr:col>
      <xdr:colOff>219075</xdr:colOff>
      <xdr:row>26</xdr:row>
      <xdr:rowOff>28575</xdr:rowOff>
    </xdr:to>
    <xdr:sp>
      <xdr:nvSpPr>
        <xdr:cNvPr id="78" name="Line 78"/>
        <xdr:cNvSpPr>
          <a:spLocks/>
        </xdr:cNvSpPr>
      </xdr:nvSpPr>
      <xdr:spPr>
        <a:xfrm>
          <a:off x="2095500" y="523875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152400</xdr:rowOff>
    </xdr:from>
    <xdr:to>
      <xdr:col>3</xdr:col>
      <xdr:colOff>219075</xdr:colOff>
      <xdr:row>26</xdr:row>
      <xdr:rowOff>28575</xdr:rowOff>
    </xdr:to>
    <xdr:sp>
      <xdr:nvSpPr>
        <xdr:cNvPr id="79" name="Line 79"/>
        <xdr:cNvSpPr>
          <a:spLocks/>
        </xdr:cNvSpPr>
      </xdr:nvSpPr>
      <xdr:spPr>
        <a:xfrm>
          <a:off x="2095500" y="523875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152400</xdr:rowOff>
    </xdr:from>
    <xdr:to>
      <xdr:col>5</xdr:col>
      <xdr:colOff>85725</xdr:colOff>
      <xdr:row>26</xdr:row>
      <xdr:rowOff>28575</xdr:rowOff>
    </xdr:to>
    <xdr:sp>
      <xdr:nvSpPr>
        <xdr:cNvPr id="80" name="Line 80"/>
        <xdr:cNvSpPr>
          <a:spLocks/>
        </xdr:cNvSpPr>
      </xdr:nvSpPr>
      <xdr:spPr>
        <a:xfrm>
          <a:off x="2895600" y="523875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152400</xdr:rowOff>
    </xdr:from>
    <xdr:to>
      <xdr:col>3</xdr:col>
      <xdr:colOff>219075</xdr:colOff>
      <xdr:row>26</xdr:row>
      <xdr:rowOff>28575</xdr:rowOff>
    </xdr:to>
    <xdr:sp>
      <xdr:nvSpPr>
        <xdr:cNvPr id="81" name="Line 81"/>
        <xdr:cNvSpPr>
          <a:spLocks/>
        </xdr:cNvSpPr>
      </xdr:nvSpPr>
      <xdr:spPr>
        <a:xfrm>
          <a:off x="2095500" y="5238750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25</xdr:row>
      <xdr:rowOff>161925</xdr:rowOff>
    </xdr:from>
    <xdr:to>
      <xdr:col>7</xdr:col>
      <xdr:colOff>152400</xdr:colOff>
      <xdr:row>26</xdr:row>
      <xdr:rowOff>38100</xdr:rowOff>
    </xdr:to>
    <xdr:sp>
      <xdr:nvSpPr>
        <xdr:cNvPr id="82" name="Line 82"/>
        <xdr:cNvSpPr>
          <a:spLocks/>
        </xdr:cNvSpPr>
      </xdr:nvSpPr>
      <xdr:spPr>
        <a:xfrm>
          <a:off x="3781425" y="52482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161925</xdr:rowOff>
    </xdr:from>
    <xdr:to>
      <xdr:col>9</xdr:col>
      <xdr:colOff>19050</xdr:colOff>
      <xdr:row>26</xdr:row>
      <xdr:rowOff>38100</xdr:rowOff>
    </xdr:to>
    <xdr:sp>
      <xdr:nvSpPr>
        <xdr:cNvPr id="83" name="Line 83"/>
        <xdr:cNvSpPr>
          <a:spLocks/>
        </xdr:cNvSpPr>
      </xdr:nvSpPr>
      <xdr:spPr>
        <a:xfrm>
          <a:off x="4419600" y="52482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161925</xdr:rowOff>
    </xdr:from>
    <xdr:to>
      <xdr:col>9</xdr:col>
      <xdr:colOff>19050</xdr:colOff>
      <xdr:row>26</xdr:row>
      <xdr:rowOff>38100</xdr:rowOff>
    </xdr:to>
    <xdr:sp>
      <xdr:nvSpPr>
        <xdr:cNvPr id="84" name="Line 84"/>
        <xdr:cNvSpPr>
          <a:spLocks/>
        </xdr:cNvSpPr>
      </xdr:nvSpPr>
      <xdr:spPr>
        <a:xfrm>
          <a:off x="4419600" y="524827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24</xdr:row>
      <xdr:rowOff>180975</xdr:rowOff>
    </xdr:from>
    <xdr:to>
      <xdr:col>3</xdr:col>
      <xdr:colOff>314325</xdr:colOff>
      <xdr:row>26</xdr:row>
      <xdr:rowOff>9525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1952625" y="50768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4</xdr:col>
      <xdr:colOff>342900</xdr:colOff>
      <xdr:row>26</xdr:row>
      <xdr:rowOff>0</xdr:rowOff>
    </xdr:from>
    <xdr:to>
      <xdr:col>5</xdr:col>
      <xdr:colOff>142875</xdr:colOff>
      <xdr:row>27</xdr:row>
      <xdr:rowOff>19050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2714625" y="52768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7</xdr:col>
      <xdr:colOff>9525</xdr:colOff>
      <xdr:row>25</xdr:row>
      <xdr:rowOff>19050</xdr:rowOff>
    </xdr:from>
    <xdr:to>
      <xdr:col>7</xdr:col>
      <xdr:colOff>247650</xdr:colOff>
      <xdr:row>26</xdr:row>
      <xdr:rowOff>38100</xdr:rowOff>
    </xdr:to>
    <xdr:sp>
      <xdr:nvSpPr>
        <xdr:cNvPr id="87" name="Text Box 87"/>
        <xdr:cNvSpPr txBox="1">
          <a:spLocks noChangeArrowheads="1"/>
        </xdr:cNvSpPr>
      </xdr:nvSpPr>
      <xdr:spPr>
        <a:xfrm>
          <a:off x="3638550" y="51054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8</xdr:col>
      <xdr:colOff>180975</xdr:colOff>
      <xdr:row>25</xdr:row>
      <xdr:rowOff>180975</xdr:rowOff>
    </xdr:from>
    <xdr:to>
      <xdr:col>9</xdr:col>
      <xdr:colOff>47625</xdr:colOff>
      <xdr:row>27</xdr:row>
      <xdr:rowOff>9525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4210050" y="52673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16</xdr:row>
      <xdr:rowOff>9525</xdr:rowOff>
    </xdr:from>
    <xdr:to>
      <xdr:col>6</xdr:col>
      <xdr:colOff>266700</xdr:colOff>
      <xdr:row>16</xdr:row>
      <xdr:rowOff>9525</xdr:rowOff>
    </xdr:to>
    <xdr:sp>
      <xdr:nvSpPr>
        <xdr:cNvPr id="1" name="Line 23"/>
        <xdr:cNvSpPr>
          <a:spLocks/>
        </xdr:cNvSpPr>
      </xdr:nvSpPr>
      <xdr:spPr>
        <a:xfrm>
          <a:off x="2695575" y="3943350"/>
          <a:ext cx="146685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17</xdr:row>
      <xdr:rowOff>219075</xdr:rowOff>
    </xdr:from>
    <xdr:to>
      <xdr:col>8</xdr:col>
      <xdr:colOff>0</xdr:colOff>
      <xdr:row>18</xdr:row>
      <xdr:rowOff>200025</xdr:rowOff>
    </xdr:to>
    <xdr:sp>
      <xdr:nvSpPr>
        <xdr:cNvPr id="2" name="Rectangle 1" descr="قطري فاتح إلى الأعلى"/>
        <xdr:cNvSpPr>
          <a:spLocks/>
        </xdr:cNvSpPr>
      </xdr:nvSpPr>
      <xdr:spPr>
        <a:xfrm>
          <a:off x="2524125" y="4438650"/>
          <a:ext cx="2343150" cy="2667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18</xdr:row>
      <xdr:rowOff>200025</xdr:rowOff>
    </xdr:from>
    <xdr:to>
      <xdr:col>8</xdr:col>
      <xdr:colOff>152400</xdr:colOff>
      <xdr:row>19</xdr:row>
      <xdr:rowOff>95250</xdr:rowOff>
    </xdr:to>
    <xdr:sp>
      <xdr:nvSpPr>
        <xdr:cNvPr id="3" name="Rectangle 2" descr="قصاصات ورق كبيرة"/>
        <xdr:cNvSpPr>
          <a:spLocks/>
        </xdr:cNvSpPr>
      </xdr:nvSpPr>
      <xdr:spPr>
        <a:xfrm>
          <a:off x="2371725" y="4705350"/>
          <a:ext cx="2647950" cy="180975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11</xdr:row>
      <xdr:rowOff>133350</xdr:rowOff>
    </xdr:from>
    <xdr:to>
      <xdr:col>6</xdr:col>
      <xdr:colOff>428625</xdr:colOff>
      <xdr:row>17</xdr:row>
      <xdr:rowOff>219075</xdr:rowOff>
    </xdr:to>
    <xdr:sp>
      <xdr:nvSpPr>
        <xdr:cNvPr id="4" name="Rectangle 3" descr="قطري فاتح إلى الأعلى"/>
        <xdr:cNvSpPr>
          <a:spLocks/>
        </xdr:cNvSpPr>
      </xdr:nvSpPr>
      <xdr:spPr>
        <a:xfrm>
          <a:off x="4171950" y="2552700"/>
          <a:ext cx="152400" cy="18859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12</xdr:row>
      <xdr:rowOff>95250</xdr:rowOff>
    </xdr:from>
    <xdr:to>
      <xdr:col>8</xdr:col>
      <xdr:colOff>342900</xdr:colOff>
      <xdr:row>12</xdr:row>
      <xdr:rowOff>95250</xdr:rowOff>
    </xdr:to>
    <xdr:sp>
      <xdr:nvSpPr>
        <xdr:cNvPr id="5" name="Line 4"/>
        <xdr:cNvSpPr>
          <a:spLocks/>
        </xdr:cNvSpPr>
      </xdr:nvSpPr>
      <xdr:spPr>
        <a:xfrm>
          <a:off x="4333875" y="2809875"/>
          <a:ext cx="87630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19</xdr:row>
      <xdr:rowOff>133350</xdr:rowOff>
    </xdr:from>
    <xdr:to>
      <xdr:col>7</xdr:col>
      <xdr:colOff>361950</xdr:colOff>
      <xdr:row>21</xdr:row>
      <xdr:rowOff>9525</xdr:rowOff>
    </xdr:to>
    <xdr:sp>
      <xdr:nvSpPr>
        <xdr:cNvPr id="6" name="Line 5"/>
        <xdr:cNvSpPr>
          <a:spLocks/>
        </xdr:cNvSpPr>
      </xdr:nvSpPr>
      <xdr:spPr>
        <a:xfrm>
          <a:off x="4867275" y="4924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133350</xdr:rowOff>
    </xdr:from>
    <xdr:to>
      <xdr:col>3</xdr:col>
      <xdr:colOff>219075</xdr:colOff>
      <xdr:row>21</xdr:row>
      <xdr:rowOff>9525</xdr:rowOff>
    </xdr:to>
    <xdr:sp>
      <xdr:nvSpPr>
        <xdr:cNvPr id="7" name="Line 6"/>
        <xdr:cNvSpPr>
          <a:spLocks/>
        </xdr:cNvSpPr>
      </xdr:nvSpPr>
      <xdr:spPr>
        <a:xfrm>
          <a:off x="2533650" y="4924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20</xdr:row>
      <xdr:rowOff>142875</xdr:rowOff>
    </xdr:from>
    <xdr:to>
      <xdr:col>7</xdr:col>
      <xdr:colOff>352425</xdr:colOff>
      <xdr:row>20</xdr:row>
      <xdr:rowOff>142875</xdr:rowOff>
    </xdr:to>
    <xdr:sp>
      <xdr:nvSpPr>
        <xdr:cNvPr id="8" name="Line 7"/>
        <xdr:cNvSpPr>
          <a:spLocks/>
        </xdr:cNvSpPr>
      </xdr:nvSpPr>
      <xdr:spPr>
        <a:xfrm>
          <a:off x="2533650" y="50958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19</xdr:row>
      <xdr:rowOff>133350</xdr:rowOff>
    </xdr:from>
    <xdr:to>
      <xdr:col>8</xdr:col>
      <xdr:colOff>152400</xdr:colOff>
      <xdr:row>22</xdr:row>
      <xdr:rowOff>66675</xdr:rowOff>
    </xdr:to>
    <xdr:sp>
      <xdr:nvSpPr>
        <xdr:cNvPr id="9" name="Line 8"/>
        <xdr:cNvSpPr>
          <a:spLocks/>
        </xdr:cNvSpPr>
      </xdr:nvSpPr>
      <xdr:spPr>
        <a:xfrm>
          <a:off x="5019675" y="49244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19</xdr:row>
      <xdr:rowOff>133350</xdr:rowOff>
    </xdr:from>
    <xdr:to>
      <xdr:col>3</xdr:col>
      <xdr:colOff>57150</xdr:colOff>
      <xdr:row>22</xdr:row>
      <xdr:rowOff>66675</xdr:rowOff>
    </xdr:to>
    <xdr:sp>
      <xdr:nvSpPr>
        <xdr:cNvPr id="10" name="Line 9"/>
        <xdr:cNvSpPr>
          <a:spLocks/>
        </xdr:cNvSpPr>
      </xdr:nvSpPr>
      <xdr:spPr>
        <a:xfrm>
          <a:off x="2371725" y="49244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152400</xdr:rowOff>
    </xdr:from>
    <xdr:to>
      <xdr:col>8</xdr:col>
      <xdr:colOff>142875</xdr:colOff>
      <xdr:row>21</xdr:row>
      <xdr:rowOff>152400</xdr:rowOff>
    </xdr:to>
    <xdr:sp>
      <xdr:nvSpPr>
        <xdr:cNvPr id="11" name="Line 10"/>
        <xdr:cNvSpPr>
          <a:spLocks/>
        </xdr:cNvSpPr>
      </xdr:nvSpPr>
      <xdr:spPr>
        <a:xfrm>
          <a:off x="2371725" y="52673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17</xdr:row>
      <xdr:rowOff>228600</xdr:rowOff>
    </xdr:from>
    <xdr:to>
      <xdr:col>2</xdr:col>
      <xdr:colOff>419100</xdr:colOff>
      <xdr:row>18</xdr:row>
      <xdr:rowOff>190500</xdr:rowOff>
    </xdr:to>
    <xdr:sp>
      <xdr:nvSpPr>
        <xdr:cNvPr id="12" name="Line 11"/>
        <xdr:cNvSpPr>
          <a:spLocks/>
        </xdr:cNvSpPr>
      </xdr:nvSpPr>
      <xdr:spPr>
        <a:xfrm flipV="1">
          <a:off x="2266950" y="444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18</xdr:row>
      <xdr:rowOff>200025</xdr:rowOff>
    </xdr:from>
    <xdr:to>
      <xdr:col>2</xdr:col>
      <xdr:colOff>419100</xdr:colOff>
      <xdr:row>19</xdr:row>
      <xdr:rowOff>95250</xdr:rowOff>
    </xdr:to>
    <xdr:sp>
      <xdr:nvSpPr>
        <xdr:cNvPr id="13" name="Line 12"/>
        <xdr:cNvSpPr>
          <a:spLocks/>
        </xdr:cNvSpPr>
      </xdr:nvSpPr>
      <xdr:spPr>
        <a:xfrm>
          <a:off x="2266950" y="4705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16</xdr:row>
      <xdr:rowOff>257175</xdr:rowOff>
    </xdr:from>
    <xdr:to>
      <xdr:col>6</xdr:col>
      <xdr:colOff>276225</xdr:colOff>
      <xdr:row>16</xdr:row>
      <xdr:rowOff>257175</xdr:rowOff>
    </xdr:to>
    <xdr:sp>
      <xdr:nvSpPr>
        <xdr:cNvPr id="14" name="Line 13"/>
        <xdr:cNvSpPr>
          <a:spLocks/>
        </xdr:cNvSpPr>
      </xdr:nvSpPr>
      <xdr:spPr>
        <a:xfrm flipH="1">
          <a:off x="2514600" y="41910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257175</xdr:rowOff>
    </xdr:from>
    <xdr:to>
      <xdr:col>7</xdr:col>
      <xdr:colOff>361950</xdr:colOff>
      <xdr:row>16</xdr:row>
      <xdr:rowOff>257175</xdr:rowOff>
    </xdr:to>
    <xdr:sp>
      <xdr:nvSpPr>
        <xdr:cNvPr id="15" name="Line 14"/>
        <xdr:cNvSpPr>
          <a:spLocks/>
        </xdr:cNvSpPr>
      </xdr:nvSpPr>
      <xdr:spPr>
        <a:xfrm>
          <a:off x="4333875" y="41910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12</xdr:row>
      <xdr:rowOff>47625</xdr:rowOff>
    </xdr:from>
    <xdr:to>
      <xdr:col>7</xdr:col>
      <xdr:colOff>266700</xdr:colOff>
      <xdr:row>17</xdr:row>
      <xdr:rowOff>190500</xdr:rowOff>
    </xdr:to>
    <xdr:sp>
      <xdr:nvSpPr>
        <xdr:cNvPr id="16" name="Line 16"/>
        <xdr:cNvSpPr>
          <a:spLocks/>
        </xdr:cNvSpPr>
      </xdr:nvSpPr>
      <xdr:spPr>
        <a:xfrm flipV="1">
          <a:off x="4772025" y="276225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47625</xdr:rowOff>
    </xdr:from>
    <xdr:to>
      <xdr:col>6</xdr:col>
      <xdr:colOff>438150</xdr:colOff>
      <xdr:row>11</xdr:row>
      <xdr:rowOff>47625</xdr:rowOff>
    </xdr:to>
    <xdr:sp>
      <xdr:nvSpPr>
        <xdr:cNvPr id="17" name="Line 17"/>
        <xdr:cNvSpPr>
          <a:spLocks/>
        </xdr:cNvSpPr>
      </xdr:nvSpPr>
      <xdr:spPr>
        <a:xfrm flipV="1">
          <a:off x="4162425" y="2466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12</xdr:row>
      <xdr:rowOff>38100</xdr:rowOff>
    </xdr:from>
    <xdr:to>
      <xdr:col>8</xdr:col>
      <xdr:colOff>342900</xdr:colOff>
      <xdr:row>12</xdr:row>
      <xdr:rowOff>38100</xdr:rowOff>
    </xdr:to>
    <xdr:sp>
      <xdr:nvSpPr>
        <xdr:cNvPr id="18" name="Line 18"/>
        <xdr:cNvSpPr>
          <a:spLocks/>
        </xdr:cNvSpPr>
      </xdr:nvSpPr>
      <xdr:spPr>
        <a:xfrm>
          <a:off x="4324350" y="27527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17</xdr:row>
      <xdr:rowOff>266700</xdr:rowOff>
    </xdr:from>
    <xdr:to>
      <xdr:col>5</xdr:col>
      <xdr:colOff>390525</xdr:colOff>
      <xdr:row>18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514725" y="4486275"/>
          <a:ext cx="276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R.C</a:t>
          </a:r>
        </a:p>
      </xdr:txBody>
    </xdr:sp>
    <xdr:clientData/>
  </xdr:twoCellAnchor>
  <xdr:twoCellAnchor>
    <xdr:from>
      <xdr:col>5</xdr:col>
      <xdr:colOff>152400</xdr:colOff>
      <xdr:row>18</xdr:row>
      <xdr:rowOff>228600</xdr:rowOff>
    </xdr:from>
    <xdr:to>
      <xdr:col>5</xdr:col>
      <xdr:colOff>371475</xdr:colOff>
      <xdr:row>19</xdr:row>
      <xdr:rowOff>66675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3552825" y="4733925"/>
          <a:ext cx="2190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P.C</a:t>
          </a:r>
        </a:p>
      </xdr:txBody>
    </xdr:sp>
    <xdr:clientData/>
  </xdr:twoCellAnchor>
  <xdr:twoCellAnchor>
    <xdr:from>
      <xdr:col>6</xdr:col>
      <xdr:colOff>438150</xdr:colOff>
      <xdr:row>11</xdr:row>
      <xdr:rowOff>238125</xdr:rowOff>
    </xdr:from>
    <xdr:to>
      <xdr:col>9</xdr:col>
      <xdr:colOff>0</xdr:colOff>
      <xdr:row>12</xdr:row>
      <xdr:rowOff>28575</xdr:rowOff>
    </xdr:to>
    <xdr:sp>
      <xdr:nvSpPr>
        <xdr:cNvPr id="21" name="Rectangle 21" descr="Light vertical"/>
        <xdr:cNvSpPr>
          <a:spLocks/>
        </xdr:cNvSpPr>
      </xdr:nvSpPr>
      <xdr:spPr>
        <a:xfrm>
          <a:off x="4333875" y="2657475"/>
          <a:ext cx="876300" cy="857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15</xdr:row>
      <xdr:rowOff>257175</xdr:rowOff>
    </xdr:from>
    <xdr:to>
      <xdr:col>6</xdr:col>
      <xdr:colOff>266700</xdr:colOff>
      <xdr:row>15</xdr:row>
      <xdr:rowOff>257175</xdr:rowOff>
    </xdr:to>
    <xdr:sp>
      <xdr:nvSpPr>
        <xdr:cNvPr id="22" name="Line 22"/>
        <xdr:cNvSpPr>
          <a:spLocks/>
        </xdr:cNvSpPr>
      </xdr:nvSpPr>
      <xdr:spPr>
        <a:xfrm>
          <a:off x="2695575" y="38862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11</xdr:row>
      <xdr:rowOff>133350</xdr:rowOff>
    </xdr:from>
    <xdr:to>
      <xdr:col>5</xdr:col>
      <xdr:colOff>476250</xdr:colOff>
      <xdr:row>17</xdr:row>
      <xdr:rowOff>209550</xdr:rowOff>
    </xdr:to>
    <xdr:sp>
      <xdr:nvSpPr>
        <xdr:cNvPr id="23" name="Line 15"/>
        <xdr:cNvSpPr>
          <a:spLocks/>
        </xdr:cNvSpPr>
      </xdr:nvSpPr>
      <xdr:spPr>
        <a:xfrm flipV="1">
          <a:off x="3876675" y="2552700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15</xdr:row>
      <xdr:rowOff>247650</xdr:rowOff>
    </xdr:from>
    <xdr:to>
      <xdr:col>3</xdr:col>
      <xdr:colOff>161925</xdr:colOff>
      <xdr:row>17</xdr:row>
      <xdr:rowOff>209550</xdr:rowOff>
    </xdr:to>
    <xdr:sp>
      <xdr:nvSpPr>
        <xdr:cNvPr id="24" name="Line 24"/>
        <xdr:cNvSpPr>
          <a:spLocks/>
        </xdr:cNvSpPr>
      </xdr:nvSpPr>
      <xdr:spPr>
        <a:xfrm flipV="1">
          <a:off x="2476500" y="38766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9</xdr:row>
      <xdr:rowOff>66675</xdr:rowOff>
    </xdr:from>
    <xdr:to>
      <xdr:col>7</xdr:col>
      <xdr:colOff>133350</xdr:colOff>
      <xdr:row>12</xdr:row>
      <xdr:rowOff>114300</xdr:rowOff>
    </xdr:to>
    <xdr:grpSp>
      <xdr:nvGrpSpPr>
        <xdr:cNvPr id="1" name="Group 10"/>
        <xdr:cNvGrpSpPr>
          <a:grpSpLocks/>
        </xdr:cNvGrpSpPr>
      </xdr:nvGrpSpPr>
      <xdr:grpSpPr>
        <a:xfrm>
          <a:off x="1543050" y="2162175"/>
          <a:ext cx="2800350" cy="904875"/>
          <a:chOff x="274" y="96"/>
          <a:chExt cx="259" cy="95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392" y="165"/>
            <a:ext cx="37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Span</a:t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378" y="115"/>
            <a:ext cx="7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DL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 W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LL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274" y="96"/>
            <a:ext cx="60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DL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 P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LL</a:t>
            </a:r>
          </a:p>
        </xdr:txBody>
      </xdr:sp>
      <xdr:sp>
        <xdr:nvSpPr>
          <xdr:cNvPr id="5" name="Line 1"/>
          <xdr:cNvSpPr>
            <a:spLocks/>
          </xdr:cNvSpPr>
        </xdr:nvSpPr>
        <xdr:spPr>
          <a:xfrm>
            <a:off x="301" y="145"/>
            <a:ext cx="23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2"/>
          <xdr:cNvSpPr>
            <a:spLocks/>
          </xdr:cNvSpPr>
        </xdr:nvSpPr>
        <xdr:spPr>
          <a:xfrm>
            <a:off x="530" y="130"/>
            <a:ext cx="0" cy="30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"/>
          <xdr:cNvSpPr>
            <a:spLocks/>
          </xdr:cNvSpPr>
        </xdr:nvSpPr>
        <xdr:spPr>
          <a:xfrm>
            <a:off x="302" y="116"/>
            <a:ext cx="0" cy="2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5"/>
          <xdr:cNvSpPr>
            <a:spLocks/>
          </xdr:cNvSpPr>
        </xdr:nvSpPr>
        <xdr:spPr>
          <a:xfrm flipH="1">
            <a:off x="305" y="136"/>
            <a:ext cx="2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H="1">
            <a:off x="301" y="183"/>
            <a:ext cx="2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11</xdr:row>
      <xdr:rowOff>114300</xdr:rowOff>
    </xdr:from>
    <xdr:to>
      <xdr:col>5</xdr:col>
      <xdr:colOff>247650</xdr:colOff>
      <xdr:row>12</xdr:row>
      <xdr:rowOff>76200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2733675" y="2762250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Span/2</a:t>
          </a:r>
        </a:p>
      </xdr:txBody>
    </xdr:sp>
    <xdr:clientData/>
  </xdr:twoCellAnchor>
  <xdr:twoCellAnchor>
    <xdr:from>
      <xdr:col>2</xdr:col>
      <xdr:colOff>219075</xdr:colOff>
      <xdr:row>11</xdr:row>
      <xdr:rowOff>114300</xdr:rowOff>
    </xdr:from>
    <xdr:to>
      <xdr:col>3</xdr:col>
      <xdr:colOff>200025</xdr:colOff>
      <xdr:row>12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8300" y="2762250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Span/2</a:t>
          </a:r>
        </a:p>
      </xdr:txBody>
    </xdr:sp>
    <xdr:clientData/>
  </xdr:twoCellAnchor>
  <xdr:twoCellAnchor>
    <xdr:from>
      <xdr:col>4</xdr:col>
      <xdr:colOff>228600</xdr:colOff>
      <xdr:row>9</xdr:row>
      <xdr:rowOff>209550</xdr:rowOff>
    </xdr:from>
    <xdr:to>
      <xdr:col>5</xdr:col>
      <xdr:colOff>438150</xdr:colOff>
      <xdr:row>10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95575" y="2286000"/>
          <a:ext cx="7239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W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LL</a:t>
          </a:r>
        </a:p>
      </xdr:txBody>
    </xdr:sp>
    <xdr:clientData/>
  </xdr:twoCellAnchor>
  <xdr:twoCellAnchor>
    <xdr:from>
      <xdr:col>3</xdr:col>
      <xdr:colOff>219075</xdr:colOff>
      <xdr:row>9</xdr:row>
      <xdr:rowOff>9525</xdr:rowOff>
    </xdr:from>
    <xdr:to>
      <xdr:col>4</xdr:col>
      <xdr:colOff>257175</xdr:colOff>
      <xdr:row>9</xdr:row>
      <xdr:rowOff>257175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152650" y="2085975"/>
          <a:ext cx="571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LL</a:t>
          </a:r>
        </a:p>
      </xdr:txBody>
    </xdr:sp>
    <xdr:clientData/>
  </xdr:twoCellAnchor>
  <xdr:twoCellAnchor>
    <xdr:from>
      <xdr:col>1</xdr:col>
      <xdr:colOff>1009650</xdr:colOff>
      <xdr:row>10</xdr:row>
      <xdr:rowOff>209550</xdr:rowOff>
    </xdr:from>
    <xdr:to>
      <xdr:col>5</xdr:col>
      <xdr:colOff>542925</xdr:colOff>
      <xdr:row>10</xdr:row>
      <xdr:rowOff>209550</xdr:rowOff>
    </xdr:to>
    <xdr:sp>
      <xdr:nvSpPr>
        <xdr:cNvPr id="5" name="Line 5"/>
        <xdr:cNvSpPr>
          <a:spLocks/>
        </xdr:cNvSpPr>
      </xdr:nvSpPr>
      <xdr:spPr>
        <a:xfrm>
          <a:off x="1314450" y="2571750"/>
          <a:ext cx="220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9</xdr:row>
      <xdr:rowOff>219075</xdr:rowOff>
    </xdr:from>
    <xdr:to>
      <xdr:col>3</xdr:col>
      <xdr:colOff>466725</xdr:colOff>
      <xdr:row>10</xdr:row>
      <xdr:rowOff>200025</xdr:rowOff>
    </xdr:to>
    <xdr:sp>
      <xdr:nvSpPr>
        <xdr:cNvPr id="6" name="Line 7"/>
        <xdr:cNvSpPr>
          <a:spLocks/>
        </xdr:cNvSpPr>
      </xdr:nvSpPr>
      <xdr:spPr>
        <a:xfrm>
          <a:off x="2400300" y="2295525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10</xdr:row>
      <xdr:rowOff>123825</xdr:rowOff>
    </xdr:from>
    <xdr:to>
      <xdr:col>5</xdr:col>
      <xdr:colOff>542925</xdr:colOff>
      <xdr:row>10</xdr:row>
      <xdr:rowOff>123825</xdr:rowOff>
    </xdr:to>
    <xdr:sp>
      <xdr:nvSpPr>
        <xdr:cNvPr id="7" name="Line 8"/>
        <xdr:cNvSpPr>
          <a:spLocks/>
        </xdr:cNvSpPr>
      </xdr:nvSpPr>
      <xdr:spPr>
        <a:xfrm flipH="1">
          <a:off x="1323975" y="24860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12</xdr:row>
      <xdr:rowOff>0</xdr:rowOff>
    </xdr:from>
    <xdr:to>
      <xdr:col>3</xdr:col>
      <xdr:colOff>485775</xdr:colOff>
      <xdr:row>12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314450" y="29337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10</xdr:row>
      <xdr:rowOff>200025</xdr:rowOff>
    </xdr:from>
    <xdr:to>
      <xdr:col>6</xdr:col>
      <xdr:colOff>19050</xdr:colOff>
      <xdr:row>11</xdr:row>
      <xdr:rowOff>38100</xdr:rowOff>
    </xdr:to>
    <xdr:sp>
      <xdr:nvSpPr>
        <xdr:cNvPr id="9" name="Line 11"/>
        <xdr:cNvSpPr>
          <a:spLocks/>
        </xdr:cNvSpPr>
      </xdr:nvSpPr>
      <xdr:spPr>
        <a:xfrm>
          <a:off x="3514725" y="2562225"/>
          <a:ext cx="1047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10</xdr:row>
      <xdr:rowOff>209550</xdr:rowOff>
    </xdr:from>
    <xdr:to>
      <xdr:col>5</xdr:col>
      <xdr:colOff>533400</xdr:colOff>
      <xdr:row>11</xdr:row>
      <xdr:rowOff>38100</xdr:rowOff>
    </xdr:to>
    <xdr:sp>
      <xdr:nvSpPr>
        <xdr:cNvPr id="10" name="Line 12"/>
        <xdr:cNvSpPr>
          <a:spLocks/>
        </xdr:cNvSpPr>
      </xdr:nvSpPr>
      <xdr:spPr>
        <a:xfrm flipH="1">
          <a:off x="3429000" y="2571750"/>
          <a:ext cx="857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11</xdr:row>
      <xdr:rowOff>38100</xdr:rowOff>
    </xdr:from>
    <xdr:to>
      <xdr:col>6</xdr:col>
      <xdr:colOff>9525</xdr:colOff>
      <xdr:row>11</xdr:row>
      <xdr:rowOff>38100</xdr:rowOff>
    </xdr:to>
    <xdr:sp>
      <xdr:nvSpPr>
        <xdr:cNvPr id="11" name="Line 13"/>
        <xdr:cNvSpPr>
          <a:spLocks/>
        </xdr:cNvSpPr>
      </xdr:nvSpPr>
      <xdr:spPr>
        <a:xfrm>
          <a:off x="3429000" y="268605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123825</xdr:rowOff>
    </xdr:from>
    <xdr:to>
      <xdr:col>5</xdr:col>
      <xdr:colOff>542925</xdr:colOff>
      <xdr:row>10</xdr:row>
      <xdr:rowOff>209550</xdr:rowOff>
    </xdr:to>
    <xdr:sp>
      <xdr:nvSpPr>
        <xdr:cNvPr id="12" name="Line 14"/>
        <xdr:cNvSpPr>
          <a:spLocks/>
        </xdr:cNvSpPr>
      </xdr:nvSpPr>
      <xdr:spPr>
        <a:xfrm>
          <a:off x="3524250" y="24860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10</xdr:row>
      <xdr:rowOff>209550</xdr:rowOff>
    </xdr:from>
    <xdr:to>
      <xdr:col>2</xdr:col>
      <xdr:colOff>0</xdr:colOff>
      <xdr:row>11</xdr:row>
      <xdr:rowOff>47625</xdr:rowOff>
    </xdr:to>
    <xdr:sp>
      <xdr:nvSpPr>
        <xdr:cNvPr id="13" name="Line 15"/>
        <xdr:cNvSpPr>
          <a:spLocks/>
        </xdr:cNvSpPr>
      </xdr:nvSpPr>
      <xdr:spPr>
        <a:xfrm>
          <a:off x="1314450" y="2571750"/>
          <a:ext cx="1047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219075</xdr:rowOff>
    </xdr:from>
    <xdr:to>
      <xdr:col>1</xdr:col>
      <xdr:colOff>1009650</xdr:colOff>
      <xdr:row>11</xdr:row>
      <xdr:rowOff>47625</xdr:rowOff>
    </xdr:to>
    <xdr:sp>
      <xdr:nvSpPr>
        <xdr:cNvPr id="14" name="Line 16"/>
        <xdr:cNvSpPr>
          <a:spLocks/>
        </xdr:cNvSpPr>
      </xdr:nvSpPr>
      <xdr:spPr>
        <a:xfrm flipH="1">
          <a:off x="1228725" y="2581275"/>
          <a:ext cx="857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11</xdr:row>
      <xdr:rowOff>47625</xdr:rowOff>
    </xdr:from>
    <xdr:to>
      <xdr:col>2</xdr:col>
      <xdr:colOff>0</xdr:colOff>
      <xdr:row>11</xdr:row>
      <xdr:rowOff>47625</xdr:rowOff>
    </xdr:to>
    <xdr:sp>
      <xdr:nvSpPr>
        <xdr:cNvPr id="15" name="Line 17"/>
        <xdr:cNvSpPr>
          <a:spLocks/>
        </xdr:cNvSpPr>
      </xdr:nvSpPr>
      <xdr:spPr>
        <a:xfrm>
          <a:off x="1238250" y="2695575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10</xdr:row>
      <xdr:rowOff>123825</xdr:rowOff>
    </xdr:from>
    <xdr:to>
      <xdr:col>1</xdr:col>
      <xdr:colOff>1019175</xdr:colOff>
      <xdr:row>10</xdr:row>
      <xdr:rowOff>209550</xdr:rowOff>
    </xdr:to>
    <xdr:sp>
      <xdr:nvSpPr>
        <xdr:cNvPr id="16" name="Line 18"/>
        <xdr:cNvSpPr>
          <a:spLocks/>
        </xdr:cNvSpPr>
      </xdr:nvSpPr>
      <xdr:spPr>
        <a:xfrm>
          <a:off x="1323975" y="24860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12</xdr:row>
      <xdr:rowOff>0</xdr:rowOff>
    </xdr:from>
    <xdr:to>
      <xdr:col>5</xdr:col>
      <xdr:colOff>523875</xdr:colOff>
      <xdr:row>12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2400300" y="29337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46"/>
  <sheetViews>
    <sheetView zoomScalePageLayoutView="0" workbookViewId="0" topLeftCell="A49">
      <selection activeCell="A14" sqref="A14:I14"/>
    </sheetView>
  </sheetViews>
  <sheetFormatPr defaultColWidth="9.140625" defaultRowHeight="12.75"/>
  <cols>
    <col min="1" max="1" width="12.8515625" style="30" customWidth="1"/>
    <col min="2" max="16384" width="9.140625" style="30" customWidth="1"/>
  </cols>
  <sheetData>
    <row r="14" spans="1:9" ht="36.75">
      <c r="A14" s="244" t="s">
        <v>134</v>
      </c>
      <c r="B14" s="244"/>
      <c r="C14" s="244"/>
      <c r="D14" s="244"/>
      <c r="E14" s="244"/>
      <c r="F14" s="244"/>
      <c r="G14" s="244"/>
      <c r="H14" s="244"/>
      <c r="I14" s="244"/>
    </row>
    <row r="16" spans="1:9" ht="20.25">
      <c r="A16" s="246" t="s">
        <v>164</v>
      </c>
      <c r="B16" s="246"/>
      <c r="C16" s="246"/>
      <c r="D16" s="246"/>
      <c r="E16" s="246"/>
      <c r="F16" s="246"/>
      <c r="G16" s="246"/>
      <c r="H16" s="246"/>
      <c r="I16" s="246"/>
    </row>
    <row r="18" spans="1:9" ht="18.75">
      <c r="A18" s="245" t="s">
        <v>250</v>
      </c>
      <c r="B18" s="245"/>
      <c r="C18" s="245"/>
      <c r="D18" s="245"/>
      <c r="E18" s="245"/>
      <c r="F18" s="245"/>
      <c r="G18" s="245"/>
      <c r="H18" s="245"/>
      <c r="I18" s="245"/>
    </row>
    <row r="22" spans="1:9" ht="15.75">
      <c r="A22" s="242" t="s">
        <v>45</v>
      </c>
      <c r="B22" s="242"/>
      <c r="C22" s="242"/>
      <c r="D22" s="242"/>
      <c r="E22" s="242"/>
      <c r="F22" s="242"/>
      <c r="G22" s="242"/>
      <c r="H22" s="242"/>
      <c r="I22" s="242"/>
    </row>
    <row r="23" spans="1:9" ht="15.75">
      <c r="A23" s="243" t="s">
        <v>46</v>
      </c>
      <c r="B23" s="243"/>
      <c r="C23" s="243"/>
      <c r="D23" s="243"/>
      <c r="E23" s="243"/>
      <c r="F23" s="243"/>
      <c r="G23" s="243"/>
      <c r="H23" s="243"/>
      <c r="I23" s="243"/>
    </row>
    <row r="24" spans="1:9" ht="12.75">
      <c r="A24" s="32"/>
      <c r="B24" s="32"/>
      <c r="C24" s="32"/>
      <c r="D24" s="32"/>
      <c r="E24" s="32"/>
      <c r="F24" s="32"/>
      <c r="G24" s="32"/>
      <c r="H24" s="32"/>
      <c r="I24" s="32"/>
    </row>
    <row r="25" spans="1:9" ht="15.75">
      <c r="A25" s="242" t="s">
        <v>47</v>
      </c>
      <c r="B25" s="242"/>
      <c r="C25" s="242"/>
      <c r="D25" s="242"/>
      <c r="E25" s="242"/>
      <c r="F25" s="242"/>
      <c r="G25" s="242"/>
      <c r="H25" s="242"/>
      <c r="I25" s="242"/>
    </row>
    <row r="26" spans="1:9" ht="15.75">
      <c r="A26" s="242" t="s">
        <v>48</v>
      </c>
      <c r="B26" s="242"/>
      <c r="C26" s="242"/>
      <c r="D26" s="242"/>
      <c r="E26" s="242"/>
      <c r="F26" s="242"/>
      <c r="G26" s="242"/>
      <c r="H26" s="242"/>
      <c r="I26" s="242"/>
    </row>
    <row r="27" spans="1:9" ht="15.75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5.75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5.75">
      <c r="A29" s="31"/>
      <c r="B29" s="31"/>
      <c r="C29" s="31"/>
      <c r="D29" s="31"/>
      <c r="E29" s="31"/>
      <c r="F29" s="31"/>
      <c r="G29" s="31"/>
      <c r="H29" s="31"/>
      <c r="I29" s="31"/>
    </row>
    <row r="31" ht="15.75">
      <c r="B31" s="33" t="s">
        <v>97</v>
      </c>
    </row>
    <row r="32" ht="15.75">
      <c r="B32" s="33" t="s">
        <v>49</v>
      </c>
    </row>
    <row r="33" ht="15.75">
      <c r="B33" s="33" t="s">
        <v>201</v>
      </c>
    </row>
    <row r="34" ht="15.75">
      <c r="B34" s="33" t="s">
        <v>50</v>
      </c>
    </row>
    <row r="35" ht="15.75">
      <c r="B35" s="33" t="s">
        <v>235</v>
      </c>
    </row>
    <row r="36" ht="15.75">
      <c r="B36" s="33" t="s">
        <v>40</v>
      </c>
    </row>
    <row r="37" ht="15.75">
      <c r="B37" s="33" t="s">
        <v>61</v>
      </c>
    </row>
    <row r="38" ht="15.75">
      <c r="B38" s="33" t="s">
        <v>240</v>
      </c>
    </row>
    <row r="39" ht="15.75">
      <c r="B39" s="33" t="s">
        <v>241</v>
      </c>
    </row>
    <row r="40" ht="15.75">
      <c r="B40" s="33" t="s">
        <v>131</v>
      </c>
    </row>
    <row r="41" ht="15.75">
      <c r="B41" s="33" t="s">
        <v>242</v>
      </c>
    </row>
    <row r="42" ht="15.75">
      <c r="B42" s="33" t="s">
        <v>132</v>
      </c>
    </row>
    <row r="43" ht="15.75">
      <c r="B43" s="33" t="s">
        <v>154</v>
      </c>
    </row>
    <row r="44" ht="15.75">
      <c r="B44" s="33" t="s">
        <v>227</v>
      </c>
    </row>
    <row r="45" ht="15.75">
      <c r="B45" s="33" t="s">
        <v>63</v>
      </c>
    </row>
    <row r="46" ht="15.75">
      <c r="B46" s="33" t="s">
        <v>80</v>
      </c>
    </row>
  </sheetData>
  <sheetProtection sheet="1" objects="1" scenarios="1"/>
  <mergeCells count="7">
    <mergeCell ref="A25:I25"/>
    <mergeCell ref="A26:I26"/>
    <mergeCell ref="A23:I23"/>
    <mergeCell ref="A14:I14"/>
    <mergeCell ref="A22:I22"/>
    <mergeCell ref="A18:I18"/>
    <mergeCell ref="A16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C4" sqref="C4:L4"/>
    </sheetView>
  </sheetViews>
  <sheetFormatPr defaultColWidth="9.140625" defaultRowHeight="12.75"/>
  <cols>
    <col min="1" max="1" width="5.421875" style="30" customWidth="1"/>
    <col min="2" max="2" width="14.8515625" style="30" customWidth="1"/>
    <col min="3" max="3" width="7.7109375" style="30" customWidth="1"/>
    <col min="4" max="5" width="8.28125" style="30" customWidth="1"/>
    <col min="6" max="6" width="6.8515625" style="30" customWidth="1"/>
    <col min="7" max="7" width="3.421875" style="30" customWidth="1"/>
    <col min="8" max="8" width="7.00390625" style="30" customWidth="1"/>
    <col min="9" max="9" width="10.28125" style="30" hidden="1" customWidth="1"/>
    <col min="10" max="11" width="0" style="30" hidden="1" customWidth="1"/>
    <col min="12" max="16384" width="9.140625" style="30" customWidth="1"/>
  </cols>
  <sheetData>
    <row r="1" ht="22.5">
      <c r="A1" s="34" t="s">
        <v>237</v>
      </c>
    </row>
    <row r="4" spans="2:12" ht="18.75">
      <c r="B4" s="35" t="s">
        <v>33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ht="15.75">
      <c r="B5" s="36"/>
    </row>
    <row r="6" ht="13.5" thickBot="1"/>
    <row r="7" spans="2:4" ht="22.5" customHeight="1" thickTop="1">
      <c r="B7" s="52" t="s">
        <v>9</v>
      </c>
      <c r="C7" s="165">
        <v>225</v>
      </c>
      <c r="D7" s="53" t="s">
        <v>8</v>
      </c>
    </row>
    <row r="8" spans="2:4" ht="22.5" customHeight="1" thickBot="1">
      <c r="B8" s="54" t="s">
        <v>44</v>
      </c>
      <c r="C8" s="166">
        <v>3600</v>
      </c>
      <c r="D8" s="55" t="s">
        <v>8</v>
      </c>
    </row>
    <row r="9" spans="2:3" ht="15.75" thickTop="1">
      <c r="B9" s="50"/>
      <c r="C9" s="40"/>
    </row>
    <row r="10" ht="13.5" thickBot="1"/>
    <row r="11" spans="1:8" ht="15" customHeight="1">
      <c r="A11" s="247" t="s">
        <v>88</v>
      </c>
      <c r="B11" s="6" t="s">
        <v>84</v>
      </c>
      <c r="C11" s="16" t="s">
        <v>86</v>
      </c>
      <c r="D11" s="233" t="s">
        <v>238</v>
      </c>
      <c r="E11" s="16" t="s">
        <v>2</v>
      </c>
      <c r="F11" s="281" t="s">
        <v>202</v>
      </c>
      <c r="G11" s="282"/>
      <c r="H11" s="289"/>
    </row>
    <row r="12" spans="1:8" ht="17.25" customHeight="1" thickBot="1">
      <c r="A12" s="248"/>
      <c r="B12" s="8" t="s">
        <v>85</v>
      </c>
      <c r="C12" s="18" t="s">
        <v>87</v>
      </c>
      <c r="D12" s="22" t="s">
        <v>239</v>
      </c>
      <c r="E12" s="17" t="s">
        <v>184</v>
      </c>
      <c r="F12" s="284"/>
      <c r="G12" s="285"/>
      <c r="H12" s="290"/>
    </row>
    <row r="13" spans="1:11" ht="15" customHeight="1">
      <c r="A13" s="103"/>
      <c r="B13" s="104"/>
      <c r="C13" s="74">
        <v>1</v>
      </c>
      <c r="D13" s="105">
        <f>INT(0.2*K13)*5+5</f>
        <v>40</v>
      </c>
      <c r="E13" s="56">
        <f>0.01*3.14*D13^2/4</f>
        <v>12.560000000000002</v>
      </c>
      <c r="F13" s="79">
        <f aca="true" t="shared" si="0" ref="F13:F45">INT(E13*400/3.14/H13^2)+1</f>
        <v>7</v>
      </c>
      <c r="G13" s="75" t="s">
        <v>5</v>
      </c>
      <c r="H13" s="227">
        <v>16</v>
      </c>
      <c r="I13" s="30">
        <f>0.000004*$C$7^2-0.0032*$C$7+1.8789</f>
        <v>1.3614</v>
      </c>
      <c r="J13" s="30">
        <f>($B$14*1000/I13/$C$7)^0.5</f>
        <v>18.06824071388295</v>
      </c>
      <c r="K13" s="30">
        <f>J13*2</f>
        <v>36.1364814277659</v>
      </c>
    </row>
    <row r="14" spans="1:11" ht="15" customHeight="1">
      <c r="A14" s="187">
        <v>1</v>
      </c>
      <c r="B14" s="188">
        <v>100</v>
      </c>
      <c r="C14" s="74">
        <v>1.3</v>
      </c>
      <c r="D14" s="105">
        <f aca="true" t="shared" si="1" ref="D14:D45">INT(0.2*K14)*5+5</f>
        <v>35</v>
      </c>
      <c r="E14" s="56">
        <f>0.013*3.14*D14^2/4</f>
        <v>12.501125</v>
      </c>
      <c r="F14" s="79">
        <f t="shared" si="0"/>
        <v>7</v>
      </c>
      <c r="G14" s="76" t="s">
        <v>5</v>
      </c>
      <c r="H14" s="227">
        <v>16</v>
      </c>
      <c r="I14" s="30">
        <f>0.000003*$C$7^2-0.003*$C$7+1.9865</f>
        <v>1.4633749999999999</v>
      </c>
      <c r="J14" s="30">
        <f>($B$14*1000/I14/$C$7)^0.5</f>
        <v>17.427332820461096</v>
      </c>
      <c r="K14" s="30">
        <f aca="true" t="shared" si="2" ref="K14:K45">J14*2</f>
        <v>34.85466564092219</v>
      </c>
    </row>
    <row r="15" spans="1:11" ht="15" customHeight="1" thickBot="1">
      <c r="A15" s="187"/>
      <c r="B15" s="188"/>
      <c r="C15" s="106">
        <v>1.6</v>
      </c>
      <c r="D15" s="228">
        <f t="shared" si="1"/>
        <v>35</v>
      </c>
      <c r="E15" s="62">
        <f>0.016*3.14*D15^2/4</f>
        <v>15.386</v>
      </c>
      <c r="F15" s="117">
        <f t="shared" si="0"/>
        <v>7</v>
      </c>
      <c r="G15" s="109" t="s">
        <v>5</v>
      </c>
      <c r="H15" s="229">
        <v>18</v>
      </c>
      <c r="I15" s="30">
        <f>0.000005*$C$7^2-0.0043*$C$7+2.269</f>
        <v>1.5546250000000001</v>
      </c>
      <c r="J15" s="30">
        <f>($B$14*1000/I15/$C$7)^0.5</f>
        <v>16.908143197543698</v>
      </c>
      <c r="K15" s="30">
        <f t="shared" si="2"/>
        <v>33.816286395087396</v>
      </c>
    </row>
    <row r="16" spans="1:11" ht="15" customHeight="1">
      <c r="A16" s="189"/>
      <c r="B16" s="190"/>
      <c r="C16" s="110">
        <v>1</v>
      </c>
      <c r="D16" s="107">
        <f t="shared" si="1"/>
        <v>40</v>
      </c>
      <c r="E16" s="56">
        <f>0.01*3.14*D16^2/4</f>
        <v>12.560000000000002</v>
      </c>
      <c r="F16" s="118">
        <f t="shared" si="0"/>
        <v>7</v>
      </c>
      <c r="G16" s="75" t="s">
        <v>5</v>
      </c>
      <c r="H16" s="230">
        <v>16</v>
      </c>
      <c r="I16" s="30">
        <f>0.000004*$C$7^2-0.0032*$C$7+1.8789</f>
        <v>1.3614</v>
      </c>
      <c r="J16" s="30">
        <f>($B$17*1000/I16/$C$7)^0.5</f>
        <v>19.792766026853876</v>
      </c>
      <c r="K16" s="30">
        <f t="shared" si="2"/>
        <v>39.58553205370775</v>
      </c>
    </row>
    <row r="17" spans="1:11" ht="15" customHeight="1">
      <c r="A17" s="187">
        <v>2</v>
      </c>
      <c r="B17" s="188">
        <v>120</v>
      </c>
      <c r="C17" s="74">
        <v>1.3</v>
      </c>
      <c r="D17" s="231">
        <f t="shared" si="1"/>
        <v>40</v>
      </c>
      <c r="E17" s="56">
        <f>0.013*3.14*D17^2/4</f>
        <v>16.328</v>
      </c>
      <c r="F17" s="79">
        <f t="shared" si="0"/>
        <v>9</v>
      </c>
      <c r="G17" s="76" t="s">
        <v>5</v>
      </c>
      <c r="H17" s="227">
        <v>16</v>
      </c>
      <c r="I17" s="30">
        <f>0.000003*$C$7^2-0.003*$C$7+1.9865</f>
        <v>1.4633749999999999</v>
      </c>
      <c r="J17" s="30">
        <f>($B$17*1000/I17/$C$7)^0.5</f>
        <v>19.090686605833344</v>
      </c>
      <c r="K17" s="30">
        <f t="shared" si="2"/>
        <v>38.18137321166669</v>
      </c>
    </row>
    <row r="18" spans="1:11" ht="15" customHeight="1" thickBot="1">
      <c r="A18" s="191"/>
      <c r="B18" s="164"/>
      <c r="C18" s="114">
        <v>1.6</v>
      </c>
      <c r="D18" s="115">
        <f t="shared" si="1"/>
        <v>40</v>
      </c>
      <c r="E18" s="116">
        <f>0.016*3.14*D18^2/4</f>
        <v>20.096</v>
      </c>
      <c r="F18" s="119">
        <f t="shared" si="0"/>
        <v>8</v>
      </c>
      <c r="G18" s="109" t="s">
        <v>5</v>
      </c>
      <c r="H18" s="232">
        <v>18</v>
      </c>
      <c r="I18" s="30">
        <f>0.000005*$C$7^2-0.0043*$C$7+2.269</f>
        <v>1.5546250000000001</v>
      </c>
      <c r="J18" s="30">
        <f>($B$17*1000/I18/$C$7)^0.5</f>
        <v>18.52194286964442</v>
      </c>
      <c r="K18" s="30">
        <f t="shared" si="2"/>
        <v>37.04388573928884</v>
      </c>
    </row>
    <row r="19" spans="1:11" ht="15" customHeight="1">
      <c r="A19" s="187"/>
      <c r="B19" s="188"/>
      <c r="C19" s="74">
        <v>1</v>
      </c>
      <c r="D19" s="107">
        <f t="shared" si="1"/>
        <v>45</v>
      </c>
      <c r="E19" s="56">
        <f>0.01*3.14*D19^2/4</f>
        <v>15.896250000000002</v>
      </c>
      <c r="F19" s="79">
        <f t="shared" si="0"/>
        <v>8</v>
      </c>
      <c r="G19" s="75" t="s">
        <v>5</v>
      </c>
      <c r="H19" s="227">
        <v>16</v>
      </c>
      <c r="I19" s="30">
        <f>0.000004*$C$7^2-0.0032*$C$7+1.8789</f>
        <v>1.3614</v>
      </c>
      <c r="J19" s="30">
        <f>($B$20*1000/I19/$C$7)^0.5</f>
        <v>22.128985149396847</v>
      </c>
      <c r="K19" s="30">
        <f t="shared" si="2"/>
        <v>44.257970298793694</v>
      </c>
    </row>
    <row r="20" spans="1:11" ht="15" customHeight="1">
      <c r="A20" s="187">
        <v>3</v>
      </c>
      <c r="B20" s="188">
        <v>150</v>
      </c>
      <c r="C20" s="74">
        <v>1.3</v>
      </c>
      <c r="D20" s="231">
        <f t="shared" si="1"/>
        <v>45</v>
      </c>
      <c r="E20" s="56">
        <f>0.013*3.14*D20^2/4</f>
        <v>20.665125</v>
      </c>
      <c r="F20" s="79">
        <f t="shared" si="0"/>
        <v>11</v>
      </c>
      <c r="G20" s="76" t="s">
        <v>5</v>
      </c>
      <c r="H20" s="227">
        <v>16</v>
      </c>
      <c r="I20" s="30">
        <f>0.000003*$C$7^2-0.003*$C$7+1.9865</f>
        <v>1.4633749999999999</v>
      </c>
      <c r="J20" s="30">
        <f>($B$20*1000/I20/$C$7)^0.5</f>
        <v>21.344036493894045</v>
      </c>
      <c r="K20" s="30">
        <f t="shared" si="2"/>
        <v>42.68807298778809</v>
      </c>
    </row>
    <row r="21" spans="1:11" ht="15" customHeight="1" thickBot="1">
      <c r="A21" s="191"/>
      <c r="B21" s="164"/>
      <c r="C21" s="114">
        <v>1.6</v>
      </c>
      <c r="D21" s="115">
        <f t="shared" si="1"/>
        <v>45</v>
      </c>
      <c r="E21" s="116">
        <f>0.016*3.14*D21^2/4</f>
        <v>25.434</v>
      </c>
      <c r="F21" s="119">
        <f t="shared" si="0"/>
        <v>11</v>
      </c>
      <c r="G21" s="109" t="s">
        <v>5</v>
      </c>
      <c r="H21" s="232">
        <v>18</v>
      </c>
      <c r="I21" s="30">
        <f>0.000005*$C$7^2-0.0043*$C$7+2.269</f>
        <v>1.5546250000000001</v>
      </c>
      <c r="J21" s="30">
        <f>($B$20*1000/I21/$C$7)^0.5</f>
        <v>20.70816166594623</v>
      </c>
      <c r="K21" s="30">
        <f t="shared" si="2"/>
        <v>41.41632333189246</v>
      </c>
    </row>
    <row r="22" spans="1:11" ht="15" customHeight="1">
      <c r="A22" s="187"/>
      <c r="B22" s="188"/>
      <c r="C22" s="74">
        <v>1</v>
      </c>
      <c r="D22" s="107">
        <f t="shared" si="1"/>
        <v>50</v>
      </c>
      <c r="E22" s="56">
        <f>0.01*3.14*D22^2/4</f>
        <v>19.625000000000004</v>
      </c>
      <c r="F22" s="79">
        <f t="shared" si="0"/>
        <v>10</v>
      </c>
      <c r="G22" s="75" t="s">
        <v>5</v>
      </c>
      <c r="H22" s="227">
        <v>16</v>
      </c>
      <c r="I22" s="30">
        <f>0.000004*$C$7^2-0.0032*$C$7+1.8789</f>
        <v>1.3614</v>
      </c>
      <c r="J22" s="30">
        <f>($B$23*1000/I22/$C$7)^0.5</f>
        <v>24.241088682042964</v>
      </c>
      <c r="K22" s="30">
        <f t="shared" si="2"/>
        <v>48.48217736408593</v>
      </c>
    </row>
    <row r="23" spans="1:11" ht="15" customHeight="1">
      <c r="A23" s="187">
        <v>4</v>
      </c>
      <c r="B23" s="188">
        <v>180</v>
      </c>
      <c r="C23" s="74">
        <v>1.3</v>
      </c>
      <c r="D23" s="231">
        <f t="shared" si="1"/>
        <v>50</v>
      </c>
      <c r="E23" s="56">
        <f>0.013*3.14*D23^2/4</f>
        <v>25.512500000000003</v>
      </c>
      <c r="F23" s="79">
        <f t="shared" si="0"/>
        <v>13</v>
      </c>
      <c r="G23" s="76" t="s">
        <v>5</v>
      </c>
      <c r="H23" s="227">
        <v>16</v>
      </c>
      <c r="I23" s="30">
        <f>0.000003*$C$7^2-0.003*$C$7+1.9865</f>
        <v>1.4633749999999999</v>
      </c>
      <c r="J23" s="30">
        <f>($B$23*1000/I23/$C$7)^0.5</f>
        <v>23.38122051183849</v>
      </c>
      <c r="K23" s="30">
        <f t="shared" si="2"/>
        <v>46.76244102367698</v>
      </c>
    </row>
    <row r="24" spans="1:11" ht="15" customHeight="1" thickBot="1">
      <c r="A24" s="191"/>
      <c r="B24" s="164"/>
      <c r="C24" s="114">
        <v>1.6</v>
      </c>
      <c r="D24" s="115">
        <f t="shared" si="1"/>
        <v>50</v>
      </c>
      <c r="E24" s="116">
        <f>0.016*3.14*D24^2/4</f>
        <v>31.4</v>
      </c>
      <c r="F24" s="119">
        <f t="shared" si="0"/>
        <v>13</v>
      </c>
      <c r="G24" s="109" t="s">
        <v>5</v>
      </c>
      <c r="H24" s="232">
        <v>18</v>
      </c>
      <c r="I24" s="30">
        <f>0.000005*$C$7^2-0.0043*$C$7+2.269</f>
        <v>1.5546250000000001</v>
      </c>
      <c r="J24" s="30">
        <f>($B$23*1000/I24/$C$7)^0.5</f>
        <v>22.684654537805017</v>
      </c>
      <c r="K24" s="30">
        <f t="shared" si="2"/>
        <v>45.36930907561003</v>
      </c>
    </row>
    <row r="25" spans="1:11" ht="15" customHeight="1">
      <c r="A25" s="187"/>
      <c r="B25" s="188"/>
      <c r="C25" s="74">
        <v>1</v>
      </c>
      <c r="D25" s="107">
        <f t="shared" si="1"/>
        <v>55</v>
      </c>
      <c r="E25" s="56">
        <f>0.01*3.14*D25^2/4</f>
        <v>23.746250000000003</v>
      </c>
      <c r="F25" s="79">
        <f t="shared" si="0"/>
        <v>12</v>
      </c>
      <c r="G25" s="75" t="s">
        <v>5</v>
      </c>
      <c r="H25" s="227">
        <v>16</v>
      </c>
      <c r="I25" s="30">
        <f>0.000004*$C$7^2-0.0032*$C$7+1.8789</f>
        <v>1.3614</v>
      </c>
      <c r="J25" s="30">
        <f>($B$26*1000/I25/$C$7)^0.5</f>
        <v>26.183368332571664</v>
      </c>
      <c r="K25" s="30">
        <f t="shared" si="2"/>
        <v>52.36673666514333</v>
      </c>
    </row>
    <row r="26" spans="1:11" ht="15" customHeight="1">
      <c r="A26" s="187">
        <v>5</v>
      </c>
      <c r="B26" s="188">
        <v>210</v>
      </c>
      <c r="C26" s="74">
        <v>1.3</v>
      </c>
      <c r="D26" s="231">
        <f t="shared" si="1"/>
        <v>55</v>
      </c>
      <c r="E26" s="56">
        <f>0.013*3.14*D26^2/4</f>
        <v>30.870125</v>
      </c>
      <c r="F26" s="79">
        <f t="shared" si="0"/>
        <v>16</v>
      </c>
      <c r="G26" s="76" t="s">
        <v>5</v>
      </c>
      <c r="H26" s="227">
        <v>16</v>
      </c>
      <c r="I26" s="30">
        <f>0.000003*$C$7^2-0.003*$C$7+1.9865</f>
        <v>1.4633749999999999</v>
      </c>
      <c r="J26" s="30">
        <f>($B$26*1000/I26/$C$7)^0.5</f>
        <v>25.254604558253394</v>
      </c>
      <c r="K26" s="30">
        <f t="shared" si="2"/>
        <v>50.50920911650679</v>
      </c>
    </row>
    <row r="27" spans="1:11" ht="15" customHeight="1" thickBot="1">
      <c r="A27" s="191"/>
      <c r="B27" s="164"/>
      <c r="C27" s="114">
        <v>1.6</v>
      </c>
      <c r="D27" s="115">
        <f t="shared" si="1"/>
        <v>50</v>
      </c>
      <c r="E27" s="116">
        <f>0.016*3.14*D27^2/4</f>
        <v>31.4</v>
      </c>
      <c r="F27" s="119">
        <f t="shared" si="0"/>
        <v>13</v>
      </c>
      <c r="G27" s="109" t="s">
        <v>5</v>
      </c>
      <c r="H27" s="232">
        <v>18</v>
      </c>
      <c r="I27" s="30">
        <f>0.000005*$C$7^2-0.0043*$C$7+2.269</f>
        <v>1.5546250000000001</v>
      </c>
      <c r="J27" s="30">
        <f>($B$26*1000/I27/$C$7)^0.5</f>
        <v>24.502227315412586</v>
      </c>
      <c r="K27" s="30">
        <f t="shared" si="2"/>
        <v>49.00445463082517</v>
      </c>
    </row>
    <row r="28" spans="1:11" ht="15" customHeight="1">
      <c r="A28" s="187"/>
      <c r="B28" s="188"/>
      <c r="C28" s="74">
        <v>1</v>
      </c>
      <c r="D28" s="107">
        <f t="shared" si="1"/>
        <v>60</v>
      </c>
      <c r="E28" s="56">
        <f>0.01*3.14*D28^2/4</f>
        <v>28.260000000000005</v>
      </c>
      <c r="F28" s="79">
        <f t="shared" si="0"/>
        <v>15</v>
      </c>
      <c r="G28" s="75" t="s">
        <v>5</v>
      </c>
      <c r="H28" s="227">
        <v>16</v>
      </c>
      <c r="I28" s="30">
        <f>0.000004*$C$7^2-0.0032*$C$7+1.8789</f>
        <v>1.3614</v>
      </c>
      <c r="J28" s="30">
        <f>($B$29*1000/I28/$C$7)^0.5</f>
        <v>27.99119815205419</v>
      </c>
      <c r="K28" s="30">
        <f t="shared" si="2"/>
        <v>55.98239630410838</v>
      </c>
    </row>
    <row r="29" spans="1:11" ht="15" customHeight="1">
      <c r="A29" s="187">
        <v>6</v>
      </c>
      <c r="B29" s="188">
        <v>240</v>
      </c>
      <c r="C29" s="74">
        <v>1.3</v>
      </c>
      <c r="D29" s="231">
        <f t="shared" si="1"/>
        <v>55</v>
      </c>
      <c r="E29" s="56">
        <f>0.013*3.14*D29^2/4</f>
        <v>30.870125</v>
      </c>
      <c r="F29" s="79">
        <f t="shared" si="0"/>
        <v>16</v>
      </c>
      <c r="G29" s="76" t="s">
        <v>5</v>
      </c>
      <c r="H29" s="227">
        <v>16</v>
      </c>
      <c r="I29" s="30">
        <f>0.000003*$C$7^2-0.003*$C$7+1.9865</f>
        <v>1.4633749999999999</v>
      </c>
      <c r="J29" s="30">
        <f>($B$29*1000/I29/$C$7)^0.5</f>
        <v>26.998307912983904</v>
      </c>
      <c r="K29" s="30">
        <f t="shared" si="2"/>
        <v>53.99661582596781</v>
      </c>
    </row>
    <row r="30" spans="1:11" ht="15" customHeight="1" thickBot="1">
      <c r="A30" s="191"/>
      <c r="B30" s="164"/>
      <c r="C30" s="114">
        <v>1.6</v>
      </c>
      <c r="D30" s="115">
        <f t="shared" si="1"/>
        <v>55</v>
      </c>
      <c r="E30" s="116">
        <f>0.016*3.14*D30^2/4</f>
        <v>37.994</v>
      </c>
      <c r="F30" s="119">
        <f t="shared" si="0"/>
        <v>15</v>
      </c>
      <c r="G30" s="109" t="s">
        <v>5</v>
      </c>
      <c r="H30" s="232">
        <v>18</v>
      </c>
      <c r="I30" s="30">
        <f>0.000005*$C$7^2-0.0043*$C$7+2.269</f>
        <v>1.5546250000000001</v>
      </c>
      <c r="J30" s="30">
        <f>($B$29*1000/I30/$C$7)^0.5</f>
        <v>26.193982807750782</v>
      </c>
      <c r="K30" s="30">
        <f t="shared" si="2"/>
        <v>52.387965615501564</v>
      </c>
    </row>
    <row r="31" spans="1:11" ht="15" customHeight="1">
      <c r="A31" s="187"/>
      <c r="B31" s="188"/>
      <c r="C31" s="74">
        <v>1</v>
      </c>
      <c r="D31" s="107">
        <f t="shared" si="1"/>
        <v>60</v>
      </c>
      <c r="E31" s="56">
        <f>0.01*3.14*D31^2/4</f>
        <v>28.260000000000005</v>
      </c>
      <c r="F31" s="79">
        <f t="shared" si="0"/>
        <v>15</v>
      </c>
      <c r="G31" s="75" t="s">
        <v>5</v>
      </c>
      <c r="H31" s="227">
        <v>16</v>
      </c>
      <c r="I31" s="30">
        <f>0.000004*$C$7^2-0.0032*$C$7+1.8789</f>
        <v>1.3614</v>
      </c>
      <c r="J31" s="30">
        <f>($B$32*1000/I31/$C$7)^0.5</f>
        <v>29.689149040280814</v>
      </c>
      <c r="K31" s="30">
        <f t="shared" si="2"/>
        <v>59.37829808056163</v>
      </c>
    </row>
    <row r="32" spans="1:11" ht="15" customHeight="1">
      <c r="A32" s="187">
        <v>7</v>
      </c>
      <c r="B32" s="188">
        <v>270</v>
      </c>
      <c r="C32" s="74">
        <v>1.3</v>
      </c>
      <c r="D32" s="231">
        <f t="shared" si="1"/>
        <v>60</v>
      </c>
      <c r="E32" s="56">
        <f>0.013*3.14*D32^2/4</f>
        <v>36.738</v>
      </c>
      <c r="F32" s="79">
        <f t="shared" si="0"/>
        <v>19</v>
      </c>
      <c r="G32" s="76" t="s">
        <v>5</v>
      </c>
      <c r="H32" s="227">
        <v>16</v>
      </c>
      <c r="I32" s="30">
        <f>0.000003*$C$7^2-0.003*$C$7+1.9865</f>
        <v>1.4633749999999999</v>
      </c>
      <c r="J32" s="30">
        <f>($B$32*1000/I32/$C$7)^0.5</f>
        <v>28.636029908750015</v>
      </c>
      <c r="K32" s="30">
        <f t="shared" si="2"/>
        <v>57.27205981750003</v>
      </c>
    </row>
    <row r="33" spans="1:11" ht="15" customHeight="1" thickBot="1">
      <c r="A33" s="191"/>
      <c r="B33" s="164"/>
      <c r="C33" s="114">
        <v>1.6</v>
      </c>
      <c r="D33" s="115">
        <f t="shared" si="1"/>
        <v>60</v>
      </c>
      <c r="E33" s="116">
        <f>0.016*3.14*D33^2/4</f>
        <v>45.216</v>
      </c>
      <c r="F33" s="119">
        <f t="shared" si="0"/>
        <v>18</v>
      </c>
      <c r="G33" s="109" t="s">
        <v>5</v>
      </c>
      <c r="H33" s="232">
        <v>18</v>
      </c>
      <c r="I33" s="30">
        <f>0.000005*$C$7^2-0.0043*$C$7+2.269</f>
        <v>1.5546250000000001</v>
      </c>
      <c r="J33" s="30">
        <f>($B$32*1000/I33/$C$7)^0.5</f>
        <v>27.782914304466633</v>
      </c>
      <c r="K33" s="30">
        <f t="shared" si="2"/>
        <v>55.565828608933266</v>
      </c>
    </row>
    <row r="34" spans="1:11" ht="15" customHeight="1">
      <c r="A34" s="187"/>
      <c r="B34" s="188"/>
      <c r="C34" s="74">
        <v>1</v>
      </c>
      <c r="D34" s="107">
        <f t="shared" si="1"/>
        <v>65</v>
      </c>
      <c r="E34" s="56">
        <f>0.01*3.14*D34^2/4</f>
        <v>33.166250000000005</v>
      </c>
      <c r="F34" s="79">
        <f t="shared" si="0"/>
        <v>17</v>
      </c>
      <c r="G34" s="75" t="s">
        <v>5</v>
      </c>
      <c r="H34" s="227">
        <v>16</v>
      </c>
      <c r="I34" s="30">
        <f>0.000004*$C$7^2-0.0032*$C$7+1.8789</f>
        <v>1.3614</v>
      </c>
      <c r="J34" s="30">
        <f>($B$35*1000/I34/$C$7)^0.5</f>
        <v>31.29511091982983</v>
      </c>
      <c r="K34" s="30">
        <f t="shared" si="2"/>
        <v>62.59022183965966</v>
      </c>
    </row>
    <row r="35" spans="1:11" ht="15" customHeight="1">
      <c r="A35" s="187">
        <v>8</v>
      </c>
      <c r="B35" s="188">
        <v>300</v>
      </c>
      <c r="C35" s="74">
        <v>1.3</v>
      </c>
      <c r="D35" s="231">
        <f t="shared" si="1"/>
        <v>65</v>
      </c>
      <c r="E35" s="56">
        <f>0.013*3.14*D35^2/4</f>
        <v>43.116125000000004</v>
      </c>
      <c r="F35" s="79">
        <f t="shared" si="0"/>
        <v>22</v>
      </c>
      <c r="G35" s="76" t="s">
        <v>5</v>
      </c>
      <c r="H35" s="227">
        <v>16</v>
      </c>
      <c r="I35" s="30">
        <f>0.000003*$C$7^2-0.003*$C$7+1.9865</f>
        <v>1.4633749999999999</v>
      </c>
      <c r="J35" s="30">
        <f>($B$35*1000/I35/$C$7)^0.5</f>
        <v>30.185025885451243</v>
      </c>
      <c r="K35" s="30">
        <f t="shared" si="2"/>
        <v>60.370051770902485</v>
      </c>
    </row>
    <row r="36" spans="1:11" ht="15" customHeight="1" thickBot="1">
      <c r="A36" s="191"/>
      <c r="B36" s="164"/>
      <c r="C36" s="114">
        <v>1.6</v>
      </c>
      <c r="D36" s="115">
        <f t="shared" si="1"/>
        <v>60</v>
      </c>
      <c r="E36" s="116">
        <f>0.016*3.14*D36^2/4</f>
        <v>45.216</v>
      </c>
      <c r="F36" s="119">
        <f t="shared" si="0"/>
        <v>18</v>
      </c>
      <c r="G36" s="109" t="s">
        <v>5</v>
      </c>
      <c r="H36" s="232">
        <v>18</v>
      </c>
      <c r="I36" s="30">
        <f>0.000005*$C$7^2-0.0043*$C$7+2.269</f>
        <v>1.5546250000000001</v>
      </c>
      <c r="J36" s="30">
        <f>($B$35*1000/I36/$C$7)^0.5</f>
        <v>29.28576307979578</v>
      </c>
      <c r="K36" s="30">
        <f t="shared" si="2"/>
        <v>58.57152615959156</v>
      </c>
    </row>
    <row r="37" spans="1:11" ht="15" customHeight="1">
      <c r="A37" s="187"/>
      <c r="B37" s="188"/>
      <c r="C37" s="74">
        <v>1</v>
      </c>
      <c r="D37" s="107">
        <f t="shared" si="1"/>
        <v>70</v>
      </c>
      <c r="E37" s="56">
        <f>0.01*3.14*D37^2/4</f>
        <v>38.465</v>
      </c>
      <c r="F37" s="79">
        <f t="shared" si="0"/>
        <v>20</v>
      </c>
      <c r="G37" s="75" t="s">
        <v>5</v>
      </c>
      <c r="H37" s="227">
        <v>16</v>
      </c>
      <c r="I37" s="30">
        <f>0.000004*$C$7^2-0.0032*$C$7+1.8789</f>
        <v>1.3614</v>
      </c>
      <c r="J37" s="30">
        <f>($B$38*1000/I37/$C$7)^0.5</f>
        <v>32.822589237183855</v>
      </c>
      <c r="K37" s="30">
        <f t="shared" si="2"/>
        <v>65.64517847436771</v>
      </c>
    </row>
    <row r="38" spans="1:11" ht="15" customHeight="1">
      <c r="A38" s="187">
        <v>9</v>
      </c>
      <c r="B38" s="188">
        <v>330</v>
      </c>
      <c r="C38" s="74">
        <v>1.3</v>
      </c>
      <c r="D38" s="231">
        <f t="shared" si="1"/>
        <v>65</v>
      </c>
      <c r="E38" s="56">
        <f>0.013*3.14*D38^2/4</f>
        <v>43.116125000000004</v>
      </c>
      <c r="F38" s="79">
        <f t="shared" si="0"/>
        <v>22</v>
      </c>
      <c r="G38" s="76" t="s">
        <v>5</v>
      </c>
      <c r="H38" s="227">
        <v>16</v>
      </c>
      <c r="I38" s="30">
        <f>0.000003*$C$7^2-0.003*$C$7+1.9865</f>
        <v>1.4633749999999999</v>
      </c>
      <c r="J38" s="30">
        <f>($B$38*1000/I38/$C$7)^0.5</f>
        <v>31.658322230906325</v>
      </c>
      <c r="K38" s="30">
        <f t="shared" si="2"/>
        <v>63.31664446181265</v>
      </c>
    </row>
    <row r="39" spans="1:11" ht="15" customHeight="1" thickBot="1">
      <c r="A39" s="191"/>
      <c r="B39" s="164"/>
      <c r="C39" s="114">
        <v>1.6</v>
      </c>
      <c r="D39" s="115">
        <f t="shared" si="1"/>
        <v>65</v>
      </c>
      <c r="E39" s="116">
        <f>0.016*3.14*D39^2/4</f>
        <v>53.066</v>
      </c>
      <c r="F39" s="119">
        <f t="shared" si="0"/>
        <v>21</v>
      </c>
      <c r="G39" s="109" t="s">
        <v>5</v>
      </c>
      <c r="H39" s="232">
        <v>18</v>
      </c>
      <c r="I39" s="30">
        <f>0.000005*$C$7^2-0.0043*$C$7+2.269</f>
        <v>1.5546250000000001</v>
      </c>
      <c r="J39" s="30">
        <f>($B$38*1000/I39/$C$7)^0.5</f>
        <v>30.71516744350456</v>
      </c>
      <c r="K39" s="30">
        <f t="shared" si="2"/>
        <v>61.43033488700912</v>
      </c>
    </row>
    <row r="40" spans="1:11" ht="15" customHeight="1">
      <c r="A40" s="187"/>
      <c r="B40" s="188"/>
      <c r="C40" s="74">
        <v>1</v>
      </c>
      <c r="D40" s="107">
        <f t="shared" si="1"/>
        <v>70</v>
      </c>
      <c r="E40" s="56">
        <f>0.01*3.14*D40^2/4</f>
        <v>38.465</v>
      </c>
      <c r="F40" s="79">
        <f t="shared" si="0"/>
        <v>20</v>
      </c>
      <c r="G40" s="75" t="s">
        <v>5</v>
      </c>
      <c r="H40" s="227">
        <v>16</v>
      </c>
      <c r="I40" s="30">
        <f>0.000004*$C$7^2-0.0032*$C$7+1.8789</f>
        <v>1.3614</v>
      </c>
      <c r="J40" s="30">
        <f>($B$41*1000/I40/$C$7)^0.5</f>
        <v>34.28207638083409</v>
      </c>
      <c r="K40" s="30">
        <f t="shared" si="2"/>
        <v>68.56415276166818</v>
      </c>
    </row>
    <row r="41" spans="1:11" ht="15" customHeight="1">
      <c r="A41" s="187">
        <v>10</v>
      </c>
      <c r="B41" s="188">
        <v>360</v>
      </c>
      <c r="C41" s="74">
        <v>1.3</v>
      </c>
      <c r="D41" s="231">
        <f t="shared" si="1"/>
        <v>70</v>
      </c>
      <c r="E41" s="56">
        <f>0.013*3.14*D41^2/4</f>
        <v>50.0045</v>
      </c>
      <c r="F41" s="79">
        <f t="shared" si="0"/>
        <v>25</v>
      </c>
      <c r="G41" s="76" t="s">
        <v>5</v>
      </c>
      <c r="H41" s="227">
        <v>16</v>
      </c>
      <c r="I41" s="30">
        <f>0.000003*$C$7^2-0.003*$C$7+1.9865</f>
        <v>1.4633749999999999</v>
      </c>
      <c r="J41" s="30">
        <f>($B$41*1000/I41/$C$7)^0.5</f>
        <v>33.06603915267799</v>
      </c>
      <c r="K41" s="30">
        <f t="shared" si="2"/>
        <v>66.13207830535598</v>
      </c>
    </row>
    <row r="42" spans="1:11" ht="15" customHeight="1" thickBot="1">
      <c r="A42" s="191"/>
      <c r="B42" s="164"/>
      <c r="C42" s="114">
        <v>1.6</v>
      </c>
      <c r="D42" s="115">
        <f t="shared" si="1"/>
        <v>65</v>
      </c>
      <c r="E42" s="116">
        <f>0.016*3.14*D42^2/4</f>
        <v>53.066</v>
      </c>
      <c r="F42" s="119">
        <f t="shared" si="0"/>
        <v>21</v>
      </c>
      <c r="G42" s="109" t="s">
        <v>5</v>
      </c>
      <c r="H42" s="232">
        <v>18</v>
      </c>
      <c r="I42" s="30">
        <f>0.000005*$C$7^2-0.0043*$C$7+2.269</f>
        <v>1.5546250000000001</v>
      </c>
      <c r="J42" s="30">
        <f>($B$41*1000/I42/$C$7)^0.5</f>
        <v>32.080946105112226</v>
      </c>
      <c r="K42" s="30">
        <f t="shared" si="2"/>
        <v>64.16189221022445</v>
      </c>
    </row>
    <row r="43" spans="1:11" ht="15" customHeight="1">
      <c r="A43" s="187"/>
      <c r="B43" s="188"/>
      <c r="C43" s="74">
        <v>1</v>
      </c>
      <c r="D43" s="107">
        <f t="shared" si="1"/>
        <v>75</v>
      </c>
      <c r="E43" s="56">
        <f>0.01*3.14*D43^2/4</f>
        <v>44.15625000000001</v>
      </c>
      <c r="F43" s="79">
        <f t="shared" si="0"/>
        <v>22</v>
      </c>
      <c r="G43" s="75" t="s">
        <v>5</v>
      </c>
      <c r="H43" s="227">
        <v>16</v>
      </c>
      <c r="I43" s="30">
        <f>0.000004*$C$7^2-0.0032*$C$7+1.8789</f>
        <v>1.3614</v>
      </c>
      <c r="J43" s="30">
        <f>($B$44*1000/I43/$C$7)^0.5</f>
        <v>35.68191639654165</v>
      </c>
      <c r="K43" s="30">
        <f t="shared" si="2"/>
        <v>71.3638327930833</v>
      </c>
    </row>
    <row r="44" spans="1:11" ht="15" customHeight="1">
      <c r="A44" s="187">
        <v>11</v>
      </c>
      <c r="B44" s="188">
        <v>390</v>
      </c>
      <c r="C44" s="74">
        <v>1.3</v>
      </c>
      <c r="D44" s="231">
        <f t="shared" si="1"/>
        <v>70</v>
      </c>
      <c r="E44" s="56">
        <f>0.013*3.14*D44^2/4</f>
        <v>50.0045</v>
      </c>
      <c r="F44" s="79">
        <f t="shared" si="0"/>
        <v>25</v>
      </c>
      <c r="G44" s="76" t="s">
        <v>5</v>
      </c>
      <c r="H44" s="227">
        <v>16</v>
      </c>
      <c r="I44" s="30">
        <f>0.000003*$C$7^2-0.003*$C$7+1.9865</f>
        <v>1.4633749999999999</v>
      </c>
      <c r="J44" s="30">
        <f>($B$44*1000/I44/$C$7)^0.5</f>
        <v>34.416224720572856</v>
      </c>
      <c r="K44" s="30">
        <f t="shared" si="2"/>
        <v>68.83244944114571</v>
      </c>
    </row>
    <row r="45" spans="1:11" ht="15" customHeight="1" thickBot="1">
      <c r="A45" s="113"/>
      <c r="B45" s="46"/>
      <c r="C45" s="114">
        <v>1.6</v>
      </c>
      <c r="D45" s="115">
        <f t="shared" si="1"/>
        <v>70</v>
      </c>
      <c r="E45" s="116">
        <f>0.016*3.14*D45^2/4</f>
        <v>61.544</v>
      </c>
      <c r="F45" s="119">
        <f t="shared" si="0"/>
        <v>25</v>
      </c>
      <c r="G45" s="109" t="s">
        <v>5</v>
      </c>
      <c r="H45" s="232">
        <v>18</v>
      </c>
      <c r="I45" s="30">
        <f>0.000005*$C$7^2-0.0043*$C$7+2.269</f>
        <v>1.5546250000000001</v>
      </c>
      <c r="J45" s="30">
        <f>($B$44*1000/I45/$C$7)^0.5</f>
        <v>33.39090736885879</v>
      </c>
      <c r="K45" s="30">
        <f t="shared" si="2"/>
        <v>66.78181473771758</v>
      </c>
    </row>
  </sheetData>
  <sheetProtection sheet="1" objects="1" scenarios="1"/>
  <mergeCells count="3">
    <mergeCell ref="C4:L4"/>
    <mergeCell ref="A11:A12"/>
    <mergeCell ref="F11:H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&amp;R&amp;"Arial,Bold Italic"&amp;9Concrete design using the ultimate limit design method.</oddHeader>
    <oddFooter>&amp;L&amp;"Arial,Bold Italic"&amp;9By: Eng. Mahmoud El-Kateb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C4" sqref="C4:I4"/>
    </sheetView>
  </sheetViews>
  <sheetFormatPr defaultColWidth="9.140625" defaultRowHeight="12.75"/>
  <cols>
    <col min="1" max="1" width="4.57421875" style="30" customWidth="1"/>
    <col min="2" max="2" width="23.140625" style="30" bestFit="1" customWidth="1"/>
    <col min="3" max="3" width="7.7109375" style="30" customWidth="1"/>
    <col min="4" max="4" width="7.421875" style="30" customWidth="1"/>
    <col min="5" max="5" width="6.57421875" style="30" customWidth="1"/>
    <col min="6" max="6" width="6.7109375" style="30" customWidth="1"/>
    <col min="7" max="7" width="10.421875" style="30" bestFit="1" customWidth="1"/>
    <col min="8" max="8" width="6.7109375" style="30" customWidth="1"/>
    <col min="9" max="9" width="7.421875" style="38" customWidth="1"/>
    <col min="10" max="14" width="9.140625" style="30" hidden="1" customWidth="1"/>
    <col min="15" max="17" width="9.140625" style="30" customWidth="1"/>
    <col min="18" max="18" width="10.28125" style="30" customWidth="1"/>
    <col min="19" max="16384" width="9.140625" style="30" customWidth="1"/>
  </cols>
  <sheetData>
    <row r="1" ht="22.5">
      <c r="A1" s="34" t="s">
        <v>133</v>
      </c>
    </row>
    <row r="2" ht="12.75" customHeight="1">
      <c r="A2" s="81"/>
    </row>
    <row r="4" spans="2:9" ht="18.75">
      <c r="B4" s="35" t="s">
        <v>33</v>
      </c>
      <c r="C4" s="249"/>
      <c r="D4" s="249"/>
      <c r="E4" s="249"/>
      <c r="F4" s="249"/>
      <c r="G4" s="249"/>
      <c r="H4" s="249"/>
      <c r="I4" s="249"/>
    </row>
    <row r="6" ht="13.5" thickBot="1">
      <c r="Q6" s="51"/>
    </row>
    <row r="7" spans="2:4" ht="24" customHeight="1" thickTop="1">
      <c r="B7" s="52" t="s">
        <v>34</v>
      </c>
      <c r="C7" s="165">
        <v>225</v>
      </c>
      <c r="D7" s="53" t="s">
        <v>8</v>
      </c>
    </row>
    <row r="8" spans="2:4" ht="24" customHeight="1">
      <c r="B8" s="82" t="s">
        <v>43</v>
      </c>
      <c r="C8" s="182">
        <v>3600</v>
      </c>
      <c r="D8" s="83" t="s">
        <v>8</v>
      </c>
    </row>
    <row r="9" spans="2:4" ht="24" customHeight="1" thickBot="1">
      <c r="B9" s="54" t="s">
        <v>19</v>
      </c>
      <c r="C9" s="200">
        <v>1.5</v>
      </c>
      <c r="D9" s="55" t="s">
        <v>8</v>
      </c>
    </row>
    <row r="10" spans="2:4" ht="22.5" customHeight="1" thickTop="1">
      <c r="B10" s="50"/>
      <c r="C10" s="40"/>
      <c r="D10" s="50"/>
    </row>
    <row r="11" spans="2:4" ht="15">
      <c r="B11" s="50"/>
      <c r="C11" s="40"/>
      <c r="D11" s="50"/>
    </row>
    <row r="12" spans="1:7" s="38" customFormat="1" ht="12.75">
      <c r="A12" s="2"/>
      <c r="B12" s="2" t="s">
        <v>24</v>
      </c>
      <c r="C12" s="2"/>
      <c r="D12" s="291" t="s">
        <v>141</v>
      </c>
      <c r="E12" s="294"/>
      <c r="F12" s="2"/>
      <c r="G12" s="2" t="s">
        <v>25</v>
      </c>
    </row>
    <row r="13" spans="1:7" s="38" customFormat="1" ht="15" thickBot="1">
      <c r="A13" s="1" t="s">
        <v>21</v>
      </c>
      <c r="B13" s="1" t="s">
        <v>41</v>
      </c>
      <c r="C13" s="1"/>
      <c r="D13" s="1" t="s">
        <v>3</v>
      </c>
      <c r="E13" s="1" t="s">
        <v>23</v>
      </c>
      <c r="F13" s="1"/>
      <c r="G13" s="1" t="s">
        <v>26</v>
      </c>
    </row>
    <row r="14" spans="1:7" s="38" customFormat="1" ht="12.75">
      <c r="A14" s="184" t="s">
        <v>20</v>
      </c>
      <c r="B14" s="170">
        <v>100</v>
      </c>
      <c r="C14" s="170"/>
      <c r="D14" s="170">
        <v>25</v>
      </c>
      <c r="E14" s="170">
        <v>50</v>
      </c>
      <c r="F14" s="170"/>
      <c r="G14" s="170">
        <v>40</v>
      </c>
    </row>
    <row r="15" s="38" customFormat="1" ht="12.75"/>
    <row r="16" s="38" customFormat="1" ht="12.75"/>
    <row r="17" spans="2:8" s="38" customFormat="1" ht="13.5" thickBot="1">
      <c r="B17" s="20" t="s">
        <v>35</v>
      </c>
      <c r="C17" s="21"/>
      <c r="D17" s="21" t="s">
        <v>27</v>
      </c>
      <c r="E17" s="21"/>
      <c r="F17" s="21" t="s">
        <v>28</v>
      </c>
      <c r="G17" s="120"/>
      <c r="H17" s="120"/>
    </row>
    <row r="18" spans="2:12" s="38" customFormat="1" ht="12.75">
      <c r="B18" s="120"/>
      <c r="C18" s="120"/>
      <c r="D18" s="121">
        <f>F18-K19</f>
        <v>250</v>
      </c>
      <c r="E18" s="121"/>
      <c r="F18" s="121">
        <f>INT(0.2*L18)*5+5</f>
        <v>275</v>
      </c>
      <c r="G18" s="120"/>
      <c r="H18" s="120"/>
      <c r="J18" s="38">
        <f>B14*1000/C9</f>
        <v>66666.66666666667</v>
      </c>
      <c r="L18" s="38">
        <f>(K19+(K19^2+4*J18)^0.5)/2</f>
        <v>271.001289487435</v>
      </c>
    </row>
    <row r="19" spans="2:11" s="38" customFormat="1" ht="12.75">
      <c r="B19" s="120"/>
      <c r="C19" s="120"/>
      <c r="D19" s="120"/>
      <c r="E19" s="120"/>
      <c r="F19" s="120"/>
      <c r="G19" s="120"/>
      <c r="H19" s="120"/>
      <c r="K19" s="38">
        <f>E14-D14</f>
        <v>25</v>
      </c>
    </row>
    <row r="20" spans="2:8" s="38" customFormat="1" ht="13.5" thickBot="1">
      <c r="B20" s="20" t="s">
        <v>36</v>
      </c>
      <c r="C20" s="21"/>
      <c r="D20" s="21" t="s">
        <v>27</v>
      </c>
      <c r="E20" s="21"/>
      <c r="F20" s="21" t="s">
        <v>28</v>
      </c>
      <c r="G20" s="21"/>
      <c r="H20" s="1" t="s">
        <v>23</v>
      </c>
    </row>
    <row r="21" spans="2:8" s="38" customFormat="1" ht="12.75">
      <c r="B21" s="120"/>
      <c r="C21" s="120"/>
      <c r="D21" s="121">
        <f>D18-2*G14</f>
        <v>170</v>
      </c>
      <c r="E21" s="121"/>
      <c r="F21" s="121">
        <f>F18-2*G14</f>
        <v>195</v>
      </c>
      <c r="G21" s="120"/>
      <c r="H21" s="185">
        <v>60</v>
      </c>
    </row>
    <row r="22" spans="2:8" s="38" customFormat="1" ht="12.75">
      <c r="B22" s="120"/>
      <c r="C22" s="120"/>
      <c r="D22" s="120"/>
      <c r="E22" s="120"/>
      <c r="F22" s="120"/>
      <c r="G22" s="120"/>
      <c r="H22" s="120"/>
    </row>
    <row r="23" spans="2:8" s="38" customFormat="1" ht="12.75">
      <c r="B23" s="120"/>
      <c r="C23" s="120"/>
      <c r="D23" s="120"/>
      <c r="E23" s="120"/>
      <c r="F23" s="120"/>
      <c r="G23" s="120"/>
      <c r="H23" s="120"/>
    </row>
    <row r="24" spans="2:8" s="38" customFormat="1" ht="16.5" customHeight="1" thickBot="1">
      <c r="B24" s="20" t="s">
        <v>158</v>
      </c>
      <c r="C24" s="23"/>
      <c r="D24" s="21" t="s">
        <v>13</v>
      </c>
      <c r="E24" s="120"/>
      <c r="F24" s="120"/>
      <c r="G24" s="120"/>
      <c r="H24" s="120"/>
    </row>
    <row r="25" spans="2:13" s="38" customFormat="1" ht="12.75">
      <c r="B25" s="122">
        <f>J25*K25/(H21-5)</f>
        <v>3.7844508432743726</v>
      </c>
      <c r="C25" s="120"/>
      <c r="D25" s="92" t="str">
        <f>IF(M25,"unsafe","safe")</f>
        <v>safe</v>
      </c>
      <c r="E25" s="120"/>
      <c r="F25" s="120"/>
      <c r="G25" s="120"/>
      <c r="H25" s="120"/>
      <c r="J25" s="38">
        <f>B14*1000*1.5/D21/F21</f>
        <v>4.524886877828054</v>
      </c>
      <c r="K25" s="38">
        <f>0.5*(F21-E14)-0.5*(H21-7)</f>
        <v>46</v>
      </c>
      <c r="L25" s="38">
        <f>0.49*(C7/1.5)^0.5</f>
        <v>6.001249869818786</v>
      </c>
      <c r="M25" s="38" t="b">
        <f>B25&gt;L25</f>
        <v>0</v>
      </c>
    </row>
    <row r="26" spans="2:8" s="38" customFormat="1" ht="12.75">
      <c r="B26" s="120"/>
      <c r="C26" s="120"/>
      <c r="D26" s="120"/>
      <c r="E26" s="120"/>
      <c r="F26" s="120"/>
      <c r="G26" s="120"/>
      <c r="H26" s="120"/>
    </row>
    <row r="27" spans="2:8" ht="16.5" customHeight="1" thickBot="1">
      <c r="B27" s="20" t="s">
        <v>159</v>
      </c>
      <c r="C27" s="23"/>
      <c r="D27" s="21" t="s">
        <v>13</v>
      </c>
      <c r="E27" s="120"/>
      <c r="F27" s="123"/>
      <c r="G27" s="123"/>
      <c r="H27" s="123"/>
    </row>
    <row r="28" spans="2:14" ht="12.75">
      <c r="B28" s="122">
        <f>J28/2/(H21-5)/(D14+E14+2*(H21-5))</f>
        <v>5.549934961699668</v>
      </c>
      <c r="C28" s="123"/>
      <c r="D28" s="92" t="str">
        <f>IF(N28,"unsafe","safe")</f>
        <v>safe</v>
      </c>
      <c r="E28" s="123"/>
      <c r="F28" s="123"/>
      <c r="G28" s="123"/>
      <c r="H28" s="123"/>
      <c r="J28" s="30">
        <f>B14*1000*1.5-J25*(D14+H21-7)*(E14+H21-5)</f>
        <v>112941.17647058824</v>
      </c>
      <c r="K28" s="30">
        <f>(0.5+D14/E14)*(C7/1.5)^0.5</f>
        <v>12.24744871391589</v>
      </c>
      <c r="L28" s="30">
        <f>(C7/1.5)^0.5</f>
        <v>12.24744871391589</v>
      </c>
      <c r="M28" s="30">
        <f>MIN(K28:L28)</f>
        <v>12.24744871391589</v>
      </c>
      <c r="N28" s="30" t="b">
        <f>B28&gt;M28</f>
        <v>0</v>
      </c>
    </row>
    <row r="29" spans="2:8" ht="12.75">
      <c r="B29" s="123"/>
      <c r="C29" s="123"/>
      <c r="D29" s="123"/>
      <c r="E29" s="123"/>
      <c r="F29" s="123"/>
      <c r="G29" s="123"/>
      <c r="H29" s="123"/>
    </row>
    <row r="30" spans="2:10" ht="12.75">
      <c r="B30" s="123"/>
      <c r="C30" s="123"/>
      <c r="D30" s="123"/>
      <c r="E30" s="123"/>
      <c r="F30" s="123"/>
      <c r="G30" s="123"/>
      <c r="H30" s="123"/>
      <c r="J30" s="30">
        <f>(F21-E14)/2</f>
        <v>72.5</v>
      </c>
    </row>
    <row r="31" spans="2:14" ht="15" thickBot="1">
      <c r="B31" s="20" t="s">
        <v>37</v>
      </c>
      <c r="C31" s="20"/>
      <c r="D31" s="21" t="s">
        <v>29</v>
      </c>
      <c r="E31" s="21"/>
      <c r="F31" s="21" t="s">
        <v>160</v>
      </c>
      <c r="G31" s="123"/>
      <c r="H31" s="123"/>
      <c r="J31" s="30">
        <f>J25*J30^2/2*100</f>
        <v>1189196.8325791855</v>
      </c>
      <c r="K31" s="39">
        <f>(H21-7)*(C7*100/J31)^0.5</f>
        <v>7.290213660790486</v>
      </c>
      <c r="L31" s="39">
        <f>0.5*(0.87+(0.7569-3.386/K31^2)^0.5)</f>
        <v>0.8512902145371444</v>
      </c>
      <c r="M31" s="30">
        <v>0.826</v>
      </c>
      <c r="N31" s="95">
        <f>MIN(L31:M31)</f>
        <v>0.826</v>
      </c>
    </row>
    <row r="32" spans="2:8" ht="14.25">
      <c r="B32" s="123"/>
      <c r="C32" s="123"/>
      <c r="D32" s="84">
        <f>J31/N31/(H21-5)/C8</f>
        <v>7.2712404467140255</v>
      </c>
      <c r="E32" s="124"/>
      <c r="F32" s="84">
        <f>0.15*(H21-5)</f>
        <v>8.25</v>
      </c>
      <c r="G32" s="68" t="s">
        <v>181</v>
      </c>
      <c r="H32" s="123"/>
    </row>
    <row r="33" spans="2:10" ht="12.75">
      <c r="B33" s="123"/>
      <c r="C33" s="123"/>
      <c r="D33" s="123"/>
      <c r="E33" s="123"/>
      <c r="F33" s="123"/>
      <c r="G33" s="123"/>
      <c r="H33" s="123"/>
      <c r="J33" s="96">
        <f>MAX(D32:F32)</f>
        <v>8.25</v>
      </c>
    </row>
    <row r="34" spans="2:8" ht="13.5" thickBot="1">
      <c r="B34" s="20" t="s">
        <v>38</v>
      </c>
      <c r="C34" s="20"/>
      <c r="D34" s="21" t="s">
        <v>30</v>
      </c>
      <c r="E34" s="5" t="s">
        <v>5</v>
      </c>
      <c r="F34" s="20"/>
      <c r="G34" s="21" t="s">
        <v>32</v>
      </c>
      <c r="H34" s="123"/>
    </row>
    <row r="35" spans="2:10" ht="12.75">
      <c r="B35" s="125"/>
      <c r="C35" s="125"/>
      <c r="D35" s="126">
        <f>INT(J33/J35+1)</f>
        <v>5</v>
      </c>
      <c r="E35" s="201">
        <v>16</v>
      </c>
      <c r="F35" s="127" t="s">
        <v>31</v>
      </c>
      <c r="G35" s="121">
        <f>INT(D35*D21/100+2)</f>
        <v>10</v>
      </c>
      <c r="H35" s="123"/>
      <c r="J35" s="30">
        <f>3.14/4*E35^2/100</f>
        <v>2.0096000000000003</v>
      </c>
    </row>
    <row r="36" spans="2:8" ht="12.75">
      <c r="B36" s="120"/>
      <c r="C36" s="120"/>
      <c r="D36" s="120"/>
      <c r="E36" s="94"/>
      <c r="F36" s="120"/>
      <c r="G36" s="123"/>
      <c r="H36" s="123"/>
    </row>
    <row r="37" spans="2:8" ht="13.5" thickBot="1">
      <c r="B37" s="20" t="s">
        <v>39</v>
      </c>
      <c r="C37" s="20"/>
      <c r="D37" s="21" t="s">
        <v>30</v>
      </c>
      <c r="E37" s="5" t="s">
        <v>5</v>
      </c>
      <c r="F37" s="20"/>
      <c r="G37" s="21" t="s">
        <v>32</v>
      </c>
      <c r="H37" s="123"/>
    </row>
    <row r="38" spans="2:10" ht="12.75">
      <c r="B38" s="123"/>
      <c r="C38" s="123"/>
      <c r="D38" s="126">
        <f>INT(J33/J38+1)</f>
        <v>5</v>
      </c>
      <c r="E38" s="201">
        <v>16</v>
      </c>
      <c r="F38" s="127" t="s">
        <v>31</v>
      </c>
      <c r="G38" s="121">
        <f>INT(D38*F21/100+2)</f>
        <v>11</v>
      </c>
      <c r="H38" s="123"/>
      <c r="J38" s="30">
        <f>3.14/4*E38^2/100</f>
        <v>2.0096000000000003</v>
      </c>
    </row>
  </sheetData>
  <sheetProtection sheet="1" objects="1" scenarios="1"/>
  <mergeCells count="2">
    <mergeCell ref="D12:E12"/>
    <mergeCell ref="C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&amp;R&amp;"Arial,Bold Italic"&amp;9Concrete design using the ultimate limit design method.</oddHeader>
    <oddFooter>&amp;L&amp;"Arial,Bold Italic"&amp;9By: Eng. Mahmoud El-Kateb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4" sqref="C4:I4"/>
    </sheetView>
  </sheetViews>
  <sheetFormatPr defaultColWidth="9.140625" defaultRowHeight="12.75"/>
  <cols>
    <col min="1" max="1" width="4.57421875" style="30" customWidth="1"/>
    <col min="2" max="2" width="23.140625" style="30" bestFit="1" customWidth="1"/>
    <col min="3" max="3" width="7.7109375" style="30" customWidth="1"/>
    <col min="4" max="4" width="7.421875" style="30" customWidth="1"/>
    <col min="5" max="5" width="6.57421875" style="30" customWidth="1"/>
    <col min="6" max="6" width="6.7109375" style="30" customWidth="1"/>
    <col min="7" max="7" width="10.421875" style="30" bestFit="1" customWidth="1"/>
    <col min="8" max="8" width="6.7109375" style="30" customWidth="1"/>
    <col min="9" max="9" width="7.421875" style="38" customWidth="1"/>
    <col min="10" max="14" width="9.140625" style="30" hidden="1" customWidth="1"/>
    <col min="15" max="17" width="9.140625" style="30" customWidth="1"/>
    <col min="18" max="18" width="10.28125" style="30" customWidth="1"/>
    <col min="19" max="16384" width="9.140625" style="30" customWidth="1"/>
  </cols>
  <sheetData>
    <row r="1" ht="22.5">
      <c r="A1" s="34" t="s">
        <v>244</v>
      </c>
    </row>
    <row r="2" ht="12.75" customHeight="1">
      <c r="A2" s="81"/>
    </row>
    <row r="4" spans="2:9" ht="18.75">
      <c r="B4" s="35" t="s">
        <v>33</v>
      </c>
      <c r="C4" s="249"/>
      <c r="D4" s="249"/>
      <c r="E4" s="249"/>
      <c r="F4" s="249"/>
      <c r="G4" s="249"/>
      <c r="H4" s="249"/>
      <c r="I4" s="249"/>
    </row>
    <row r="6" ht="13.5" thickBot="1">
      <c r="Q6" s="51"/>
    </row>
    <row r="7" spans="2:4" ht="24" customHeight="1" thickTop="1">
      <c r="B7" s="52" t="s">
        <v>34</v>
      </c>
      <c r="C7" s="165">
        <v>225</v>
      </c>
      <c r="D7" s="53" t="s">
        <v>8</v>
      </c>
    </row>
    <row r="8" spans="2:4" ht="24" customHeight="1">
      <c r="B8" s="82" t="s">
        <v>43</v>
      </c>
      <c r="C8" s="182">
        <v>3600</v>
      </c>
      <c r="D8" s="83" t="s">
        <v>8</v>
      </c>
    </row>
    <row r="9" spans="2:4" ht="24" customHeight="1" thickBot="1">
      <c r="B9" s="54" t="s">
        <v>19</v>
      </c>
      <c r="C9" s="200">
        <v>1.5</v>
      </c>
      <c r="D9" s="55" t="s">
        <v>8</v>
      </c>
    </row>
    <row r="10" spans="2:4" ht="22.5" customHeight="1" thickTop="1">
      <c r="B10" s="50"/>
      <c r="C10" s="40"/>
      <c r="D10" s="50"/>
    </row>
    <row r="11" spans="2:4" ht="15">
      <c r="B11" s="50"/>
      <c r="C11" s="40"/>
      <c r="D11" s="50"/>
    </row>
    <row r="12" spans="1:7" s="38" customFormat="1" ht="12.75">
      <c r="A12" s="2"/>
      <c r="B12" s="2" t="s">
        <v>24</v>
      </c>
      <c r="C12" s="2" t="s">
        <v>243</v>
      </c>
      <c r="D12" s="291" t="s">
        <v>141</v>
      </c>
      <c r="E12" s="294"/>
      <c r="F12" s="2"/>
      <c r="G12" s="2" t="s">
        <v>25</v>
      </c>
    </row>
    <row r="13" spans="1:7" s="38" customFormat="1" ht="15" thickBot="1">
      <c r="A13" s="1" t="s">
        <v>21</v>
      </c>
      <c r="B13" s="1" t="s">
        <v>41</v>
      </c>
      <c r="C13" s="1" t="s">
        <v>245</v>
      </c>
      <c r="D13" s="1" t="s">
        <v>3</v>
      </c>
      <c r="E13" s="1" t="s">
        <v>23</v>
      </c>
      <c r="F13" s="1"/>
      <c r="G13" s="1" t="s">
        <v>26</v>
      </c>
    </row>
    <row r="14" spans="1:7" s="38" customFormat="1" ht="12.75">
      <c r="A14" s="184" t="s">
        <v>20</v>
      </c>
      <c r="B14" s="170">
        <v>100</v>
      </c>
      <c r="C14" s="170">
        <v>10</v>
      </c>
      <c r="D14" s="170">
        <v>25</v>
      </c>
      <c r="E14" s="170">
        <v>50</v>
      </c>
      <c r="F14" s="170"/>
      <c r="G14" s="170">
        <v>20</v>
      </c>
    </row>
    <row r="15" s="38" customFormat="1" ht="12.75">
      <c r="J15" s="38">
        <f>C14/B14</f>
        <v>0.1</v>
      </c>
    </row>
    <row r="16" s="38" customFormat="1" ht="12.75"/>
    <row r="17" spans="2:8" s="38" customFormat="1" ht="15" thickBot="1">
      <c r="B17" s="20" t="s">
        <v>35</v>
      </c>
      <c r="C17" s="21"/>
      <c r="D17" s="21" t="s">
        <v>27</v>
      </c>
      <c r="E17" s="21"/>
      <c r="F17" s="21" t="s">
        <v>28</v>
      </c>
      <c r="G17" s="21" t="s">
        <v>246</v>
      </c>
      <c r="H17" s="120"/>
    </row>
    <row r="18" spans="2:8" s="38" customFormat="1" ht="12.75">
      <c r="B18" s="120"/>
      <c r="C18" s="120"/>
      <c r="D18" s="234">
        <f>F18-K20</f>
        <v>250</v>
      </c>
      <c r="E18" s="234"/>
      <c r="F18" s="234">
        <f>INT(0.2*L19)*5+5</f>
        <v>275</v>
      </c>
      <c r="G18" s="239">
        <f>6*J15*100</f>
        <v>60.00000000000001</v>
      </c>
      <c r="H18" s="120"/>
    </row>
    <row r="19" spans="2:12" s="38" customFormat="1" ht="12.75">
      <c r="B19" s="235" t="s">
        <v>247</v>
      </c>
      <c r="C19" s="120"/>
      <c r="D19" s="236">
        <v>250</v>
      </c>
      <c r="E19" s="236"/>
      <c r="F19" s="236">
        <v>275</v>
      </c>
      <c r="G19" s="120"/>
      <c r="H19" s="120"/>
      <c r="J19" s="38">
        <f>B14*1000/C9</f>
        <v>66666.66666666667</v>
      </c>
      <c r="L19" s="38">
        <f>(K20+(K20^2+4*J19)^0.5)/2</f>
        <v>271.001289487435</v>
      </c>
    </row>
    <row r="20" spans="2:11" s="38" customFormat="1" ht="12.75">
      <c r="B20" s="120"/>
      <c r="C20" s="120"/>
      <c r="D20" s="120"/>
      <c r="E20" s="120"/>
      <c r="F20" s="120"/>
      <c r="G20" s="120"/>
      <c r="H20" s="120"/>
      <c r="K20" s="38">
        <f>E14-D14</f>
        <v>25</v>
      </c>
    </row>
    <row r="21" spans="2:8" s="38" customFormat="1" ht="13.5" thickBot="1">
      <c r="B21" s="20" t="s">
        <v>36</v>
      </c>
      <c r="C21" s="21"/>
      <c r="D21" s="21" t="s">
        <v>27</v>
      </c>
      <c r="E21" s="21"/>
      <c r="F21" s="21" t="s">
        <v>28</v>
      </c>
      <c r="G21" s="21"/>
      <c r="H21" s="1" t="s">
        <v>23</v>
      </c>
    </row>
    <row r="22" spans="2:8" s="38" customFormat="1" ht="12.75">
      <c r="B22" s="120"/>
      <c r="C22" s="120"/>
      <c r="D22" s="121">
        <f>D19-2*G14</f>
        <v>210</v>
      </c>
      <c r="E22" s="121"/>
      <c r="F22" s="121">
        <f>F19-2*G14</f>
        <v>235</v>
      </c>
      <c r="G22" s="120"/>
      <c r="H22" s="185">
        <v>60</v>
      </c>
    </row>
    <row r="23" spans="2:8" s="38" customFormat="1" ht="12.75">
      <c r="B23" s="120"/>
      <c r="C23" s="120"/>
      <c r="D23" s="121"/>
      <c r="E23" s="121"/>
      <c r="F23" s="121"/>
      <c r="G23" s="120"/>
      <c r="H23" s="185"/>
    </row>
    <row r="24" spans="2:10" s="38" customFormat="1" ht="16.5" customHeight="1" thickBot="1">
      <c r="B24" s="240" t="s">
        <v>248</v>
      </c>
      <c r="C24" s="237">
        <f>(1+6*J15*100/F19)*B14*1000/D19/F19</f>
        <v>1.7719008264462812</v>
      </c>
      <c r="D24" s="121"/>
      <c r="E24" s="238" t="str">
        <f>IF(J24,"Unsafe case (2)","Safe case (2)")</f>
        <v>Safe case (2)</v>
      </c>
      <c r="F24" s="121"/>
      <c r="G24" s="120"/>
      <c r="H24" s="185"/>
      <c r="J24" s="38" t="b">
        <f>C24&gt;1.25*C9</f>
        <v>0</v>
      </c>
    </row>
    <row r="25" spans="2:10" s="38" customFormat="1" ht="16.5" customHeight="1" thickBot="1">
      <c r="B25" s="241" t="s">
        <v>249</v>
      </c>
      <c r="C25" s="237">
        <f>(1-6*J15*100/F19)*B14*1000/D19/F19</f>
        <v>1.137190082644628</v>
      </c>
      <c r="D25" s="120"/>
      <c r="E25" s="238" t="str">
        <f>IF(J25,"Tension","No tension")</f>
        <v>No tension</v>
      </c>
      <c r="F25" s="120"/>
      <c r="G25" s="120"/>
      <c r="H25" s="120"/>
      <c r="J25" s="38" t="b">
        <f>C25&lt;0</f>
        <v>0</v>
      </c>
    </row>
    <row r="26" spans="2:8" s="38" customFormat="1" ht="12.75">
      <c r="B26" s="120"/>
      <c r="C26" s="120"/>
      <c r="D26" s="120"/>
      <c r="E26" s="120"/>
      <c r="F26" s="120"/>
      <c r="G26" s="120"/>
      <c r="H26" s="120"/>
    </row>
    <row r="27" spans="2:8" s="38" customFormat="1" ht="16.5" customHeight="1" thickBot="1">
      <c r="B27" s="20" t="s">
        <v>158</v>
      </c>
      <c r="C27" s="23"/>
      <c r="D27" s="21" t="s">
        <v>13</v>
      </c>
      <c r="E27" s="120"/>
      <c r="F27" s="120"/>
      <c r="G27" s="120"/>
      <c r="H27" s="120"/>
    </row>
    <row r="28" spans="2:13" s="38" customFormat="1" ht="12.75">
      <c r="B28" s="122">
        <f>M29*1.5*K28/(H22-5)</f>
        <v>4.317127638934944</v>
      </c>
      <c r="C28" s="120"/>
      <c r="D28" s="92" t="str">
        <f>IF(M28,"unsafe","safe")</f>
        <v>safe</v>
      </c>
      <c r="E28" s="120"/>
      <c r="F28" s="120"/>
      <c r="G28" s="120"/>
      <c r="H28" s="120"/>
      <c r="J28" s="38">
        <f>B14*1000*1.5/D22/F22</f>
        <v>3.0395136778115504</v>
      </c>
      <c r="K28" s="38">
        <f>0.5*(F22-E14)-0.5*(H22-7)</f>
        <v>66</v>
      </c>
      <c r="L28" s="38">
        <f>0.49*(C7/1.5)^0.5</f>
        <v>6.001249869818786</v>
      </c>
      <c r="M28" s="38" t="b">
        <f>B28&gt;L28</f>
        <v>0</v>
      </c>
    </row>
    <row r="29" spans="2:14" s="38" customFormat="1" ht="12.75">
      <c r="B29" s="120"/>
      <c r="C29" s="120"/>
      <c r="D29" s="120"/>
      <c r="E29" s="120"/>
      <c r="F29" s="120"/>
      <c r="G29" s="120"/>
      <c r="H29" s="120"/>
      <c r="J29" s="38">
        <f>(1+6*J15*100/F22)*B14*1000/D22/F22</f>
        <v>2.5437064821401623</v>
      </c>
      <c r="K29" s="38">
        <f>(1-6*J15*100/F22)*B14*1000/D22/F22</f>
        <v>1.5089784216085709</v>
      </c>
      <c r="L29" s="38">
        <f>(J29-K29)*(F22-K28)/F22+K29:K30</f>
        <v>2.2531020055653324</v>
      </c>
      <c r="M29" s="38">
        <f>(J29+L29)/2</f>
        <v>2.398404243852747</v>
      </c>
      <c r="N29" s="38">
        <f>(J29-K29)*(F22-J33)/F22+K29:K30</f>
        <v>2.136419905122408</v>
      </c>
    </row>
    <row r="30" spans="2:14" ht="16.5" customHeight="1" thickBot="1">
      <c r="B30" s="20" t="s">
        <v>159</v>
      </c>
      <c r="C30" s="23"/>
      <c r="D30" s="21" t="s">
        <v>13</v>
      </c>
      <c r="E30" s="120"/>
      <c r="F30" s="123"/>
      <c r="G30" s="123"/>
      <c r="H30" s="123"/>
      <c r="N30" s="30">
        <f>(N29+J29)/2</f>
        <v>2.340063193631285</v>
      </c>
    </row>
    <row r="31" spans="2:14" ht="12.75">
      <c r="B31" s="122">
        <f>J31/2/(H22-5)/(D14+E14+2*(H22-5))</f>
        <v>6.147733807308275</v>
      </c>
      <c r="C31" s="123"/>
      <c r="D31" s="92" t="str">
        <f>IF(N31,"unsafe","safe")</f>
        <v>safe</v>
      </c>
      <c r="E31" s="123"/>
      <c r="F31" s="123"/>
      <c r="G31" s="123"/>
      <c r="H31" s="123"/>
      <c r="J31" s="30">
        <f>B14*1000*1.5-J28*(D14+H22-7)*(E14+H22-5)</f>
        <v>125106.3829787234</v>
      </c>
      <c r="K31" s="30">
        <f>(0.5+D14/E14)*(C7/1.5)^0.5</f>
        <v>12.24744871391589</v>
      </c>
      <c r="L31" s="30">
        <f>(C7/1.5)^0.5</f>
        <v>12.24744871391589</v>
      </c>
      <c r="M31" s="30">
        <f>MIN(K31:L31)</f>
        <v>12.24744871391589</v>
      </c>
      <c r="N31" s="30" t="b">
        <f>B31&gt;M31</f>
        <v>0</v>
      </c>
    </row>
    <row r="32" spans="2:8" ht="12.75">
      <c r="B32" s="123"/>
      <c r="C32" s="123"/>
      <c r="D32" s="123"/>
      <c r="E32" s="123"/>
      <c r="F32" s="123"/>
      <c r="G32" s="123"/>
      <c r="H32" s="123"/>
    </row>
    <row r="33" spans="2:11" ht="12.75">
      <c r="B33" s="123"/>
      <c r="C33" s="123"/>
      <c r="D33" s="123"/>
      <c r="E33" s="123"/>
      <c r="F33" s="123"/>
      <c r="G33" s="123"/>
      <c r="H33" s="123"/>
      <c r="J33" s="30">
        <f>(F22-E14)/2</f>
        <v>92.5</v>
      </c>
      <c r="K33" s="30">
        <f>(D22-D14)/2</f>
        <v>92.5</v>
      </c>
    </row>
    <row r="34" spans="2:14" ht="15" thickBot="1">
      <c r="B34" s="20" t="s">
        <v>37</v>
      </c>
      <c r="C34" s="20"/>
      <c r="D34" s="21" t="s">
        <v>29</v>
      </c>
      <c r="E34" s="21"/>
      <c r="F34" s="21" t="s">
        <v>160</v>
      </c>
      <c r="G34" s="123"/>
      <c r="H34" s="123"/>
      <c r="J34" s="30">
        <f>N30*1.5*J33^2/2*100</f>
        <v>1501662.4275380762</v>
      </c>
      <c r="K34" s="39">
        <f>(H22-7)*(C7*100/J34)^0.5</f>
        <v>6.48755378454774</v>
      </c>
      <c r="L34" s="39">
        <f>0.5*(0.87+(0.7569-3.386/K34^2)^0.5)</f>
        <v>0.8462329607916157</v>
      </c>
      <c r="M34" s="30">
        <v>0.826</v>
      </c>
      <c r="N34" s="95">
        <f>MIN(L34:M34)</f>
        <v>0.826</v>
      </c>
    </row>
    <row r="35" spans="2:14" ht="14.25">
      <c r="B35" s="123"/>
      <c r="C35" s="123"/>
      <c r="D35" s="84">
        <f>J34/N34/(H22-5)/C8</f>
        <v>9.181784109485145</v>
      </c>
      <c r="E35" s="124"/>
      <c r="F35" s="84">
        <f>0.15*(H22-5)</f>
        <v>8.25</v>
      </c>
      <c r="G35" s="68" t="s">
        <v>181</v>
      </c>
      <c r="H35" s="123"/>
      <c r="J35" s="30">
        <f>J28*K33^2/2*100</f>
        <v>1300341.945288754</v>
      </c>
      <c r="K35" s="30">
        <f>(H22-7)*(C7*100/J35)^0.5</f>
        <v>6.971694414523343</v>
      </c>
      <c r="L35" s="30">
        <f>0.5*(0.87+(0.7569-3.386/K35^2)^0.5)</f>
        <v>0.8494984021342299</v>
      </c>
      <c r="M35" s="30">
        <v>0.826</v>
      </c>
      <c r="N35" s="95">
        <f>MIN(L35:M35)</f>
        <v>0.826</v>
      </c>
    </row>
    <row r="36" spans="2:12" ht="12.75">
      <c r="B36" s="123"/>
      <c r="C36" s="123"/>
      <c r="D36" s="123"/>
      <c r="E36" s="123"/>
      <c r="F36" s="123"/>
      <c r="G36" s="123"/>
      <c r="H36" s="123"/>
      <c r="J36" s="96">
        <f>MAX(D35:F35)</f>
        <v>9.181784109485145</v>
      </c>
      <c r="K36" s="30">
        <f>J35/N35/(H22-6)/C8</f>
        <v>8.098065104330168</v>
      </c>
      <c r="L36" s="96">
        <f>MAX(F35,K36)</f>
        <v>8.25</v>
      </c>
    </row>
    <row r="37" spans="2:8" ht="13.5" thickBot="1">
      <c r="B37" s="20" t="s">
        <v>38</v>
      </c>
      <c r="C37" s="20"/>
      <c r="D37" s="21" t="s">
        <v>30</v>
      </c>
      <c r="E37" s="5" t="s">
        <v>5</v>
      </c>
      <c r="F37" s="20"/>
      <c r="G37" s="21" t="s">
        <v>32</v>
      </c>
      <c r="H37" s="123"/>
    </row>
    <row r="38" spans="2:10" ht="12.75">
      <c r="B38" s="125"/>
      <c r="C38" s="125"/>
      <c r="D38" s="126">
        <f>INT(J36/J38+1)</f>
        <v>5</v>
      </c>
      <c r="E38" s="201">
        <v>16</v>
      </c>
      <c r="F38" s="127" t="s">
        <v>31</v>
      </c>
      <c r="G38" s="121">
        <f>INT(D38*D22/100+2)</f>
        <v>12</v>
      </c>
      <c r="H38" s="123"/>
      <c r="J38" s="30">
        <f>3.14/4*E38^2/100</f>
        <v>2.0096000000000003</v>
      </c>
    </row>
    <row r="39" spans="2:8" ht="12.75">
      <c r="B39" s="120"/>
      <c r="C39" s="120"/>
      <c r="D39" s="120"/>
      <c r="E39" s="94"/>
      <c r="F39" s="120"/>
      <c r="G39" s="123"/>
      <c r="H39" s="123"/>
    </row>
    <row r="40" spans="2:8" ht="13.5" thickBot="1">
      <c r="B40" s="20" t="s">
        <v>39</v>
      </c>
      <c r="C40" s="20"/>
      <c r="D40" s="21" t="s">
        <v>30</v>
      </c>
      <c r="E40" s="5" t="s">
        <v>5</v>
      </c>
      <c r="F40" s="20"/>
      <c r="G40" s="21" t="s">
        <v>32</v>
      </c>
      <c r="H40" s="123"/>
    </row>
    <row r="41" spans="2:10" ht="12.75">
      <c r="B41" s="123"/>
      <c r="C41" s="123"/>
      <c r="D41" s="126">
        <f>INT(L36/J41+1)</f>
        <v>5</v>
      </c>
      <c r="E41" s="201">
        <v>16</v>
      </c>
      <c r="F41" s="127" t="s">
        <v>31</v>
      </c>
      <c r="G41" s="121">
        <f>INT(D41*F22/100+2)</f>
        <v>13</v>
      </c>
      <c r="H41" s="123"/>
      <c r="J41" s="30">
        <f>3.14/4*E41^2/100</f>
        <v>2.0096000000000003</v>
      </c>
    </row>
  </sheetData>
  <sheetProtection sheet="1" objects="1" scenarios="1"/>
  <mergeCells count="2">
    <mergeCell ref="C4:I4"/>
    <mergeCell ref="D12:E1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&amp;R&amp;"Arial,Bold Italic"&amp;9Concrete design using the ultimate limit design method</oddHeader>
    <oddFooter>&amp;L&amp;"Arial,Bold Italic"&amp;9By: Eng. Mahmoud El-Kateb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C4" sqref="C4:I4"/>
    </sheetView>
  </sheetViews>
  <sheetFormatPr defaultColWidth="9.140625" defaultRowHeight="12.75"/>
  <cols>
    <col min="1" max="1" width="6.421875" style="30" customWidth="1"/>
    <col min="2" max="2" width="23.140625" style="30" customWidth="1"/>
    <col min="3" max="3" width="7.7109375" style="30" customWidth="1"/>
    <col min="4" max="4" width="7.421875" style="30" customWidth="1"/>
    <col min="5" max="5" width="6.57421875" style="30" customWidth="1"/>
    <col min="6" max="6" width="6.7109375" style="30" customWidth="1"/>
    <col min="7" max="7" width="10.421875" style="30" customWidth="1"/>
    <col min="8" max="9" width="6.7109375" style="30" customWidth="1"/>
    <col min="10" max="10" width="7.421875" style="38" hidden="1" customWidth="1"/>
    <col min="11" max="16" width="9.140625" style="30" hidden="1" customWidth="1"/>
    <col min="17" max="18" width="9.140625" style="30" customWidth="1"/>
    <col min="19" max="19" width="10.28125" style="30" customWidth="1"/>
    <col min="20" max="16384" width="9.140625" style="30" customWidth="1"/>
  </cols>
  <sheetData>
    <row r="1" ht="22.5">
      <c r="A1" s="34" t="s">
        <v>122</v>
      </c>
    </row>
    <row r="2" ht="12.75" customHeight="1">
      <c r="A2" s="81"/>
    </row>
    <row r="4" spans="2:17" ht="18.75">
      <c r="B4" s="35" t="s">
        <v>33</v>
      </c>
      <c r="C4" s="249"/>
      <c r="D4" s="249"/>
      <c r="E4" s="249"/>
      <c r="F4" s="249"/>
      <c r="G4" s="249"/>
      <c r="H4" s="249"/>
      <c r="I4" s="249"/>
      <c r="K4" s="38"/>
      <c r="L4" s="38"/>
      <c r="M4" s="38"/>
      <c r="N4" s="38"/>
      <c r="O4" s="38"/>
      <c r="P4" s="38"/>
      <c r="Q4" s="38"/>
    </row>
    <row r="6" ht="13.5" thickBot="1">
      <c r="R6" s="51"/>
    </row>
    <row r="7" spans="2:4" ht="24" customHeight="1" thickTop="1">
      <c r="B7" s="52" t="s">
        <v>34</v>
      </c>
      <c r="C7" s="165">
        <v>225</v>
      </c>
      <c r="D7" s="53" t="s">
        <v>8</v>
      </c>
    </row>
    <row r="8" spans="2:4" ht="25.5" customHeight="1">
      <c r="B8" s="82" t="s">
        <v>43</v>
      </c>
      <c r="C8" s="182">
        <v>3600</v>
      </c>
      <c r="D8" s="83" t="s">
        <v>8</v>
      </c>
    </row>
    <row r="9" spans="2:4" ht="24" customHeight="1" thickBot="1">
      <c r="B9" s="54" t="s">
        <v>19</v>
      </c>
      <c r="C9" s="200">
        <v>1.5</v>
      </c>
      <c r="D9" s="55" t="s">
        <v>8</v>
      </c>
    </row>
    <row r="10" spans="2:4" ht="22.5" customHeight="1" thickTop="1">
      <c r="B10" s="50"/>
      <c r="C10" s="40"/>
      <c r="D10" s="50"/>
    </row>
    <row r="11" spans="2:4" ht="15">
      <c r="B11" s="50"/>
      <c r="C11" s="40"/>
      <c r="D11" s="50"/>
    </row>
    <row r="12" spans="1:7" s="38" customFormat="1" ht="12.75">
      <c r="A12" s="2"/>
      <c r="B12" s="2" t="s">
        <v>24</v>
      </c>
      <c r="C12" s="2"/>
      <c r="D12" s="2" t="s">
        <v>22</v>
      </c>
      <c r="E12" s="3" t="s">
        <v>138</v>
      </c>
      <c r="F12" s="2"/>
      <c r="G12" s="2" t="s">
        <v>25</v>
      </c>
    </row>
    <row r="13" spans="1:7" s="38" customFormat="1" ht="15" thickBot="1">
      <c r="A13" s="1" t="s">
        <v>123</v>
      </c>
      <c r="B13" s="1" t="s">
        <v>41</v>
      </c>
      <c r="C13" s="1"/>
      <c r="D13" s="1" t="s">
        <v>136</v>
      </c>
      <c r="E13" s="1" t="s">
        <v>137</v>
      </c>
      <c r="F13" s="1"/>
      <c r="G13" s="1" t="s">
        <v>26</v>
      </c>
    </row>
    <row r="14" spans="1:7" s="38" customFormat="1" ht="12.75">
      <c r="A14" s="184" t="s">
        <v>144</v>
      </c>
      <c r="B14" s="170">
        <v>60</v>
      </c>
      <c r="C14" s="170"/>
      <c r="D14" s="170">
        <v>25</v>
      </c>
      <c r="E14" s="170">
        <v>50</v>
      </c>
      <c r="F14" s="170"/>
      <c r="G14" s="170">
        <v>25</v>
      </c>
    </row>
    <row r="15" spans="1:7" s="38" customFormat="1" ht="12.75">
      <c r="A15" s="184" t="s">
        <v>142</v>
      </c>
      <c r="B15" s="170">
        <v>84</v>
      </c>
      <c r="C15" s="170"/>
      <c r="D15" s="170">
        <v>25</v>
      </c>
      <c r="E15" s="170">
        <v>70</v>
      </c>
      <c r="F15" s="170"/>
      <c r="G15" s="170">
        <v>25</v>
      </c>
    </row>
    <row r="16" s="38" customFormat="1" ht="12.75">
      <c r="A16" s="88"/>
    </row>
    <row r="17" spans="1:12" s="38" customFormat="1" ht="13.5" thickBot="1">
      <c r="A17" s="88"/>
      <c r="B17" s="1" t="s">
        <v>124</v>
      </c>
      <c r="C17" s="170">
        <v>2.15</v>
      </c>
      <c r="D17" s="128" t="s">
        <v>125</v>
      </c>
      <c r="J17" s="38">
        <f>B15/(B14+B15)*C17</f>
        <v>1.2541666666666667</v>
      </c>
      <c r="K17" s="38">
        <f>200*J17+E14+2*G14</f>
        <v>350.83333333333337</v>
      </c>
      <c r="L17" s="38">
        <f>(B14+B15)*1000/C9/F23</f>
        <v>270.4225352112676</v>
      </c>
    </row>
    <row r="18" spans="1:12" s="38" customFormat="1" ht="12.75">
      <c r="A18" s="88"/>
      <c r="D18" s="128"/>
      <c r="K18" s="38">
        <f>(B14+B15)*1000/C9/F27</f>
        <v>259.4594594594595</v>
      </c>
      <c r="L18" s="38">
        <f>(B14+B15)*1000/C9/F27</f>
        <v>259.4594594594595</v>
      </c>
    </row>
    <row r="19" spans="1:5" s="38" customFormat="1" ht="13.5" thickBot="1">
      <c r="A19" s="88"/>
      <c r="B19" s="21" t="s">
        <v>135</v>
      </c>
      <c r="C19" s="84">
        <f>J17</f>
        <v>1.2541666666666667</v>
      </c>
      <c r="D19" s="128" t="s">
        <v>125</v>
      </c>
      <c r="E19" s="128" t="s">
        <v>143</v>
      </c>
    </row>
    <row r="20" spans="1:12" s="38" customFormat="1" ht="12.75">
      <c r="A20" s="88"/>
      <c r="B20" s="129"/>
      <c r="C20" s="129"/>
      <c r="D20" s="128"/>
      <c r="E20" s="128"/>
      <c r="L20" s="38">
        <f>(B14+B15)*1000/C9/F24</f>
        <v>228.57142857142858</v>
      </c>
    </row>
    <row r="21" s="38" customFormat="1" ht="12.75">
      <c r="A21" s="88"/>
    </row>
    <row r="22" spans="1:9" s="38" customFormat="1" ht="13.5" thickBot="1">
      <c r="A22" s="88"/>
      <c r="B22" s="20" t="s">
        <v>35</v>
      </c>
      <c r="C22" s="21"/>
      <c r="D22" s="21" t="s">
        <v>27</v>
      </c>
      <c r="E22" s="21"/>
      <c r="F22" s="21" t="s">
        <v>28</v>
      </c>
      <c r="G22" s="120"/>
      <c r="H22" s="120"/>
      <c r="I22" s="120"/>
    </row>
    <row r="23" spans="1:9" s="38" customFormat="1" ht="12.75">
      <c r="A23" s="88"/>
      <c r="B23" s="120" t="s">
        <v>126</v>
      </c>
      <c r="C23" s="120"/>
      <c r="D23" s="121">
        <f>INT(0.2*L17)*5+5</f>
        <v>275</v>
      </c>
      <c r="E23" s="121"/>
      <c r="F23" s="121">
        <f>INT(0.2*K17)*5+5</f>
        <v>355</v>
      </c>
      <c r="G23" s="120"/>
      <c r="H23" s="120"/>
      <c r="I23" s="120"/>
    </row>
    <row r="24" spans="1:9" s="38" customFormat="1" ht="12.75">
      <c r="A24" s="88"/>
      <c r="B24" s="91" t="s">
        <v>162</v>
      </c>
      <c r="C24" s="91"/>
      <c r="D24" s="91">
        <f>(INT(0.2*L20)+1)*5</f>
        <v>230</v>
      </c>
      <c r="E24" s="91"/>
      <c r="F24" s="185">
        <v>420</v>
      </c>
      <c r="G24" s="120"/>
      <c r="H24" s="120"/>
      <c r="I24" s="120"/>
    </row>
    <row r="25" spans="1:9" s="38" customFormat="1" ht="12.75">
      <c r="A25" s="88"/>
      <c r="B25" s="120"/>
      <c r="C25" s="120"/>
      <c r="D25" s="120"/>
      <c r="E25" s="120"/>
      <c r="F25" s="120"/>
      <c r="G25" s="120"/>
      <c r="H25" s="120"/>
      <c r="I25" s="120"/>
    </row>
    <row r="26" spans="2:13" s="38" customFormat="1" ht="13.5" thickBot="1">
      <c r="B26" s="20" t="s">
        <v>36</v>
      </c>
      <c r="C26" s="21"/>
      <c r="D26" s="21" t="s">
        <v>27</v>
      </c>
      <c r="E26" s="21"/>
      <c r="F26" s="21" t="s">
        <v>28</v>
      </c>
      <c r="G26" s="21"/>
      <c r="H26" s="1" t="s">
        <v>23</v>
      </c>
      <c r="I26" s="120"/>
      <c r="K26" s="38">
        <f>0.5*F27/100-(C17-C19)-0.5*E15/100</f>
        <v>0.6041666666666669</v>
      </c>
      <c r="L26" s="38">
        <f>B14-K29*(E14/100+0.5*K28/100+0.5*K31/100)</f>
        <v>23.708108108108107</v>
      </c>
      <c r="M26" s="38">
        <f>B15-K29*(M29+E15/100+0.5*K28/100+0.5*K31/100)</f>
        <v>16.4108108108108</v>
      </c>
    </row>
    <row r="27" spans="2:14" s="38" customFormat="1" ht="12.75">
      <c r="B27" s="120"/>
      <c r="C27" s="120"/>
      <c r="D27" s="121">
        <f>D24-2*G15</f>
        <v>180</v>
      </c>
      <c r="E27" s="121"/>
      <c r="F27" s="121">
        <f>F24-G14-G15</f>
        <v>370</v>
      </c>
      <c r="G27" s="120"/>
      <c r="H27" s="185">
        <v>60</v>
      </c>
      <c r="I27" s="91"/>
      <c r="K27" s="38">
        <f>0.5*F27/100-C19-0.5*E14/100</f>
        <v>0.34583333333333344</v>
      </c>
      <c r="L27" s="38">
        <f>MAX(L26:M26)</f>
        <v>23.708108108108107</v>
      </c>
      <c r="M27" s="38">
        <f>L27*1.5*1000/K31/D27</f>
        <v>3.6586586586586582</v>
      </c>
      <c r="N27" s="38">
        <f>0.49*(C7/1.5)^0.5</f>
        <v>6.001249869818786</v>
      </c>
    </row>
    <row r="28" spans="2:13" s="38" customFormat="1" ht="12.75">
      <c r="B28" s="120"/>
      <c r="C28" s="120"/>
      <c r="D28" s="120"/>
      <c r="E28" s="120"/>
      <c r="F28" s="120"/>
      <c r="G28" s="120"/>
      <c r="H28" s="120"/>
      <c r="I28" s="120"/>
      <c r="K28" s="38">
        <f>(F24-F23)/2</f>
        <v>32.5</v>
      </c>
      <c r="M28" s="38" t="b">
        <f>M27&gt;N27</f>
        <v>0</v>
      </c>
    </row>
    <row r="29" spans="2:13" s="38" customFormat="1" ht="12.75">
      <c r="B29" s="120"/>
      <c r="C29" s="120"/>
      <c r="D29" s="120"/>
      <c r="E29" s="120"/>
      <c r="F29" s="120"/>
      <c r="G29" s="120"/>
      <c r="H29" s="120"/>
      <c r="I29" s="120"/>
      <c r="K29" s="38">
        <f>(B14+B15)/F27*100</f>
        <v>38.91891891891892</v>
      </c>
      <c r="L29" s="38">
        <f>K30-K27-0.5*E14/100</f>
        <v>0.9458333333333333</v>
      </c>
      <c r="M29" s="38">
        <f>MAX(K26:K27)</f>
        <v>0.6041666666666669</v>
      </c>
    </row>
    <row r="30" spans="2:13" s="38" customFormat="1" ht="12.75">
      <c r="B30" s="120"/>
      <c r="C30" s="120"/>
      <c r="D30" s="120"/>
      <c r="E30" s="120"/>
      <c r="F30" s="120"/>
      <c r="G30" s="120"/>
      <c r="H30" s="120"/>
      <c r="I30" s="120"/>
      <c r="K30" s="38">
        <f>B14/K29</f>
        <v>1.5416666666666667</v>
      </c>
      <c r="L30" s="38">
        <f>B14*L29-K29*K30^2/2</f>
        <v>10.5</v>
      </c>
      <c r="M30" s="38">
        <f>K29*M29^2/2</f>
        <v>7.103040540540545</v>
      </c>
    </row>
    <row r="31" spans="2:12" s="38" customFormat="1" ht="12.75">
      <c r="B31" s="120"/>
      <c r="C31" s="120"/>
      <c r="D31" s="120"/>
      <c r="E31" s="120"/>
      <c r="F31" s="120"/>
      <c r="G31" s="120"/>
      <c r="H31" s="120"/>
      <c r="I31" s="120"/>
      <c r="K31" s="38">
        <f>H27-6</f>
        <v>54</v>
      </c>
      <c r="L31" s="38">
        <f>H27-6</f>
        <v>54</v>
      </c>
    </row>
    <row r="32" spans="2:14" s="38" customFormat="1" ht="13.5" thickBot="1">
      <c r="B32" s="20" t="s">
        <v>127</v>
      </c>
      <c r="C32" s="120"/>
      <c r="D32" s="130" t="str">
        <f>IF(N32,"unsafe bending"," ")</f>
        <v> </v>
      </c>
      <c r="E32" s="92"/>
      <c r="F32" s="130"/>
      <c r="G32" s="130" t="str">
        <f>IF(M28,"unsafe shear"," ")</f>
        <v> </v>
      </c>
      <c r="H32" s="120"/>
      <c r="I32" s="120"/>
      <c r="K32" s="38">
        <f>K31*(C7*D27/M30/1.5/10^5)^0.5</f>
        <v>10.528184696723521</v>
      </c>
      <c r="L32" s="38">
        <f>L31*(C7*D27/L30/1.5/10^5)^0.5</f>
        <v>8.65926423796255</v>
      </c>
      <c r="M32" s="38">
        <v>2.78</v>
      </c>
      <c r="N32" s="38" t="b">
        <f>L32&lt;M32</f>
        <v>0</v>
      </c>
    </row>
    <row r="33" spans="2:15" ht="12.75">
      <c r="B33" s="123"/>
      <c r="C33" s="123"/>
      <c r="D33" s="123"/>
      <c r="E33" s="123"/>
      <c r="F33" s="123"/>
      <c r="G33" s="123"/>
      <c r="H33" s="123"/>
      <c r="I33" s="123"/>
      <c r="J33" s="38">
        <v>0.826</v>
      </c>
      <c r="K33" s="30">
        <f>0.5*(0.87+(0.87^2-3.386/K32^2)^0.5)</f>
        <v>0.8611314932783354</v>
      </c>
      <c r="L33" s="30">
        <f>0.5*(0.87+(0.87^2-3.386/L32^2)^0.5)</f>
        <v>0.8568243152474784</v>
      </c>
      <c r="M33" s="30">
        <v>0.826</v>
      </c>
      <c r="N33" s="30">
        <f>MIN(L33:M33)</f>
        <v>0.826</v>
      </c>
      <c r="O33" s="30">
        <f>MIN(J33:K33)</f>
        <v>0.826</v>
      </c>
    </row>
    <row r="34" spans="2:15" ht="13.5" thickBot="1">
      <c r="B34" s="20" t="s">
        <v>128</v>
      </c>
      <c r="C34" s="20"/>
      <c r="D34" s="21" t="s">
        <v>30</v>
      </c>
      <c r="E34" s="5" t="s">
        <v>5</v>
      </c>
      <c r="F34" s="20"/>
      <c r="G34" s="21" t="s">
        <v>32</v>
      </c>
      <c r="H34" s="123"/>
      <c r="I34" s="123"/>
      <c r="J34" s="38">
        <f>0.15/100*D27*K31</f>
        <v>14.580000000000002</v>
      </c>
      <c r="K34" s="30">
        <f>M30*1.5*10^5/K31/O33/C8</f>
        <v>6.635279852087766</v>
      </c>
      <c r="L34" s="30">
        <f>L30*1.5*10^5/L31/N33/C8</f>
        <v>9.808537350910232</v>
      </c>
      <c r="M34" s="30">
        <f>0.15/100*D27*L31</f>
        <v>14.580000000000002</v>
      </c>
      <c r="N34" s="30">
        <f>MAX(L34:M34)</f>
        <v>14.580000000000002</v>
      </c>
      <c r="O34" s="30">
        <f>MAX(J34:K34)</f>
        <v>14.580000000000002</v>
      </c>
    </row>
    <row r="35" spans="2:12" ht="12.75">
      <c r="B35" s="125"/>
      <c r="C35" s="125"/>
      <c r="D35" s="126">
        <f>INT(L35)+1</f>
        <v>5</v>
      </c>
      <c r="E35" s="201">
        <v>16</v>
      </c>
      <c r="F35" s="127" t="s">
        <v>31</v>
      </c>
      <c r="G35" s="121">
        <f>INT(D35*D27/100)+2</f>
        <v>11</v>
      </c>
      <c r="H35" s="123"/>
      <c r="I35" s="123"/>
      <c r="K35" s="30">
        <f>O34/D27*4/3.14/E38^2*10000</f>
        <v>4.030652866242039</v>
      </c>
      <c r="L35" s="30">
        <f>N34/D27*4/3.14/E35^2*10000</f>
        <v>4.030652866242039</v>
      </c>
    </row>
    <row r="36" spans="2:9" ht="12.75">
      <c r="B36" s="120"/>
      <c r="C36" s="120"/>
      <c r="D36" s="120"/>
      <c r="E36" s="94"/>
      <c r="F36" s="120"/>
      <c r="G36" s="123"/>
      <c r="H36" s="123"/>
      <c r="I36" s="123"/>
    </row>
    <row r="37" spans="2:14" ht="13.5" thickBot="1">
      <c r="B37" s="20" t="s">
        <v>129</v>
      </c>
      <c r="C37" s="20"/>
      <c r="D37" s="21" t="s">
        <v>30</v>
      </c>
      <c r="E37" s="5" t="s">
        <v>5</v>
      </c>
      <c r="F37" s="20"/>
      <c r="G37" s="21" t="s">
        <v>32</v>
      </c>
      <c r="H37" s="123"/>
      <c r="I37" s="123"/>
      <c r="L37" s="30">
        <f>H27-7</f>
        <v>53</v>
      </c>
      <c r="M37" s="30">
        <f>100*M29</f>
        <v>60.416666666666686</v>
      </c>
      <c r="N37" s="30">
        <f>MIN(L37:M37)</f>
        <v>53</v>
      </c>
    </row>
    <row r="38" spans="2:13" ht="12.75">
      <c r="B38" s="123"/>
      <c r="C38" s="123"/>
      <c r="D38" s="126">
        <f>INT(K35)+1</f>
        <v>5</v>
      </c>
      <c r="E38" s="201">
        <v>16</v>
      </c>
      <c r="F38" s="127" t="s">
        <v>31</v>
      </c>
      <c r="G38" s="121">
        <f>INT(D38*D27/100)+2</f>
        <v>11</v>
      </c>
      <c r="H38" s="123"/>
      <c r="I38" s="123"/>
      <c r="K38" s="30">
        <f>B14/D27*100</f>
        <v>33.33333333333333</v>
      </c>
      <c r="M38" s="30">
        <f>B15*100/D27</f>
        <v>46.666666666666664</v>
      </c>
    </row>
    <row r="39" spans="2:13" ht="12.75">
      <c r="B39" s="123"/>
      <c r="C39" s="123"/>
      <c r="D39" s="123"/>
      <c r="E39" s="98"/>
      <c r="F39" s="123"/>
      <c r="G39" s="123"/>
      <c r="H39" s="123"/>
      <c r="I39" s="123"/>
      <c r="K39" s="30">
        <f>0.5*(D27-D14)/100</f>
        <v>0.775</v>
      </c>
      <c r="M39" s="30">
        <f>0.5*(D27-D15)/100</f>
        <v>0.775</v>
      </c>
    </row>
    <row r="40" spans="2:13" ht="13.5" thickBot="1">
      <c r="B40" s="20" t="s">
        <v>130</v>
      </c>
      <c r="C40" s="120"/>
      <c r="D40" s="131" t="str">
        <f>IF(P42,"unsafe bending"," ")</f>
        <v> </v>
      </c>
      <c r="E40" s="94"/>
      <c r="F40" s="120"/>
      <c r="G40" s="130" t="str">
        <f>IF(L51,"unsafe shear"," ")</f>
        <v> </v>
      </c>
      <c r="H40" s="123"/>
      <c r="I40" s="123"/>
      <c r="K40" s="30">
        <f>K38*K39^2/2</f>
        <v>10.010416666666666</v>
      </c>
      <c r="M40" s="30">
        <f>M38*M39^2/2</f>
        <v>14.014583333333334</v>
      </c>
    </row>
    <row r="41" spans="2:13" ht="12.75">
      <c r="B41" s="123"/>
      <c r="C41" s="123"/>
      <c r="D41" s="123"/>
      <c r="E41" s="98"/>
      <c r="F41" s="123"/>
      <c r="G41" s="123"/>
      <c r="H41" s="123"/>
      <c r="I41" s="123"/>
      <c r="K41" s="30">
        <f>E14+L37+0.5*K28</f>
        <v>119.25</v>
      </c>
      <c r="M41" s="30">
        <f>E15+L37+M37+0.5*K28</f>
        <v>199.66666666666669</v>
      </c>
    </row>
    <row r="42" spans="2:16" ht="13.5" thickBot="1">
      <c r="B42" s="20" t="s">
        <v>128</v>
      </c>
      <c r="C42" s="20"/>
      <c r="D42" s="21" t="s">
        <v>30</v>
      </c>
      <c r="E42" s="5" t="s">
        <v>5</v>
      </c>
      <c r="F42" s="20"/>
      <c r="G42" s="21" t="s">
        <v>32</v>
      </c>
      <c r="H42" s="123"/>
      <c r="I42" s="123"/>
      <c r="K42" s="30">
        <f>L37*(C7*K41/10^5/1.5/K40)^0.5</f>
        <v>7.084751399543972</v>
      </c>
      <c r="M42" s="30">
        <f>L37*(C7*M41/10^5/1.5/M40)^0.5</f>
        <v>7.74790322988357</v>
      </c>
      <c r="N42" s="30">
        <f>MIN(K42:M42)</f>
        <v>7.084751399543972</v>
      </c>
      <c r="O42" s="30">
        <v>2.78</v>
      </c>
      <c r="P42" s="30" t="b">
        <f>N42&lt;O42</f>
        <v>0</v>
      </c>
    </row>
    <row r="43" spans="2:13" ht="12.75">
      <c r="B43" s="125"/>
      <c r="C43" s="125"/>
      <c r="D43" s="126">
        <v>5</v>
      </c>
      <c r="E43" s="201">
        <v>12</v>
      </c>
      <c r="F43" s="127" t="s">
        <v>31</v>
      </c>
      <c r="G43" s="121">
        <f>INT(D43*F27/100)+2</f>
        <v>20</v>
      </c>
      <c r="H43" s="123"/>
      <c r="I43" s="123"/>
      <c r="K43" s="30">
        <f>0.5*(0.87+(0.87^2-3.386/K42^2)^0.5)</f>
        <v>0.8501630216208111</v>
      </c>
      <c r="L43" s="30">
        <v>0.826</v>
      </c>
      <c r="M43" s="30">
        <f>0.5*(0.87+(0.87^2-3.386/M42^2)^0.5)</f>
        <v>0.8534778588594618</v>
      </c>
    </row>
    <row r="44" spans="2:13" ht="12.75">
      <c r="B44" s="120"/>
      <c r="C44" s="120"/>
      <c r="D44" s="120"/>
      <c r="E44" s="94"/>
      <c r="F44" s="120"/>
      <c r="G44" s="123"/>
      <c r="H44" s="123"/>
      <c r="I44" s="123"/>
      <c r="K44" s="30">
        <f>MIN(K43:L43)</f>
        <v>0.826</v>
      </c>
      <c r="M44" s="30">
        <f>MIN(L43:M43)</f>
        <v>0.826</v>
      </c>
    </row>
    <row r="45" spans="2:13" ht="13.5" thickBot="1">
      <c r="B45" s="20" t="s">
        <v>129</v>
      </c>
      <c r="C45" s="20"/>
      <c r="D45" s="21" t="s">
        <v>30</v>
      </c>
      <c r="E45" s="5" t="s">
        <v>5</v>
      </c>
      <c r="F45" s="20"/>
      <c r="G45" s="21" t="s">
        <v>32</v>
      </c>
      <c r="H45" s="123"/>
      <c r="I45" s="123"/>
      <c r="K45" s="30">
        <f>K40*1.5*10^5/L37/K44/C8</f>
        <v>9.527632473946833</v>
      </c>
      <c r="M45" s="30">
        <f>M40*1.5*10^5/L37/M44/C8</f>
        <v>13.338685463525566</v>
      </c>
    </row>
    <row r="46" spans="2:15" ht="12.75">
      <c r="B46" s="123"/>
      <c r="C46" s="123"/>
      <c r="D46" s="126">
        <f>INT(O47)+1</f>
        <v>4</v>
      </c>
      <c r="E46" s="201">
        <v>16</v>
      </c>
      <c r="F46" s="127" t="s">
        <v>31</v>
      </c>
      <c r="G46" s="121">
        <f>INT(D46*F27/100)+2</f>
        <v>16</v>
      </c>
      <c r="H46" s="123"/>
      <c r="I46" s="123"/>
      <c r="K46" s="30">
        <f>K45/K41*100</f>
        <v>7.989628908970091</v>
      </c>
      <c r="L46" s="30">
        <f>0.15*L37</f>
        <v>7.949999999999999</v>
      </c>
      <c r="M46" s="30">
        <f>M45/M41*100</f>
        <v>6.680476859862554</v>
      </c>
      <c r="O46" s="30">
        <f>MAX(K46:M46)</f>
        <v>7.989628908970091</v>
      </c>
    </row>
    <row r="47" ht="12.75">
      <c r="O47" s="30">
        <f>O46*4/3.14/E46^2*100</f>
        <v>3.975730945944512</v>
      </c>
    </row>
    <row r="48" spans="11:13" ht="12.75">
      <c r="K48" s="30">
        <f>K38*(K39-0.5*L37/100)</f>
        <v>16.999999999999996</v>
      </c>
      <c r="M48" s="30">
        <f>M38*(M39-0.5*L37/100)</f>
        <v>23.8</v>
      </c>
    </row>
    <row r="49" spans="11:13" ht="12.75">
      <c r="K49" s="30">
        <f>K48*1.5*1000/K41/L37</f>
        <v>4.034650528064553</v>
      </c>
      <c r="M49" s="30">
        <f>M48*1.5*1000/L37/M41</f>
        <v>3.3735471068132417</v>
      </c>
    </row>
    <row r="50" ht="12.75">
      <c r="L50" s="30">
        <f>MAX(K49:M49)</f>
        <v>4.034650528064553</v>
      </c>
    </row>
    <row r="51" ht="12.75">
      <c r="L51" s="30" t="b">
        <f>L50&gt;N27</f>
        <v>0</v>
      </c>
    </row>
  </sheetData>
  <sheetProtection sheet="1" objects="1" scenarios="1"/>
  <mergeCells count="1">
    <mergeCell ref="C4:I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&amp;R&amp;"Arial,Bold Italic"&amp;9Concrete design using the ultimate limit design method.</oddHeader>
    <oddFooter>&amp;L&amp;"Arial,Bold Italic"&amp;9By: Eng. Mahmoud El-Kateb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C4" sqref="C4:H4"/>
    </sheetView>
  </sheetViews>
  <sheetFormatPr defaultColWidth="9.140625" defaultRowHeight="12.75"/>
  <cols>
    <col min="1" max="1" width="6.421875" style="30" customWidth="1"/>
    <col min="2" max="2" width="23.140625" style="30" customWidth="1"/>
    <col min="3" max="3" width="7.7109375" style="30" customWidth="1"/>
    <col min="4" max="4" width="7.421875" style="30" customWidth="1"/>
    <col min="5" max="5" width="6.57421875" style="30" customWidth="1"/>
    <col min="6" max="6" width="6.7109375" style="30" customWidth="1"/>
    <col min="7" max="7" width="10.421875" style="30" customWidth="1"/>
    <col min="8" max="8" width="12.8515625" style="30" bestFit="1" customWidth="1"/>
    <col min="9" max="9" width="12.8515625" style="30" hidden="1" customWidth="1"/>
    <col min="10" max="10" width="7.421875" style="38" hidden="1" customWidth="1"/>
    <col min="11" max="14" width="9.140625" style="30" hidden="1" customWidth="1"/>
    <col min="15" max="15" width="12.00390625" style="30" hidden="1" customWidth="1"/>
    <col min="16" max="16" width="9.140625" style="30" hidden="1" customWidth="1"/>
    <col min="17" max="18" width="9.140625" style="30" customWidth="1"/>
    <col min="19" max="19" width="10.28125" style="30" customWidth="1"/>
    <col min="20" max="16384" width="9.140625" style="30" customWidth="1"/>
  </cols>
  <sheetData>
    <row r="1" ht="22.5">
      <c r="A1" s="34" t="s">
        <v>155</v>
      </c>
    </row>
    <row r="2" ht="12.75" customHeight="1">
      <c r="A2" s="81"/>
    </row>
    <row r="4" spans="2:8" ht="18.75">
      <c r="B4" s="35" t="s">
        <v>33</v>
      </c>
      <c r="C4" s="249"/>
      <c r="D4" s="249"/>
      <c r="E4" s="249"/>
      <c r="F4" s="249"/>
      <c r="G4" s="249"/>
      <c r="H4" s="249"/>
    </row>
    <row r="6" ht="13.5" thickBot="1">
      <c r="R6" s="51"/>
    </row>
    <row r="7" spans="2:4" ht="24" customHeight="1" thickTop="1">
      <c r="B7" s="52" t="s">
        <v>34</v>
      </c>
      <c r="C7" s="165">
        <v>225</v>
      </c>
      <c r="D7" s="53" t="s">
        <v>8</v>
      </c>
    </row>
    <row r="8" spans="2:4" ht="25.5" customHeight="1">
      <c r="B8" s="82" t="s">
        <v>43</v>
      </c>
      <c r="C8" s="182">
        <v>3600</v>
      </c>
      <c r="D8" s="83" t="s">
        <v>8</v>
      </c>
    </row>
    <row r="9" spans="2:4" ht="25.5" customHeight="1">
      <c r="B9" s="82" t="s">
        <v>156</v>
      </c>
      <c r="C9" s="182">
        <v>2400</v>
      </c>
      <c r="D9" s="83" t="s">
        <v>8</v>
      </c>
    </row>
    <row r="10" spans="2:4" ht="24" customHeight="1" thickBot="1">
      <c r="B10" s="54" t="s">
        <v>19</v>
      </c>
      <c r="C10" s="200">
        <v>1.5</v>
      </c>
      <c r="D10" s="55" t="s">
        <v>8</v>
      </c>
    </row>
    <row r="11" spans="2:4" ht="22.5" customHeight="1" thickTop="1">
      <c r="B11" s="50"/>
      <c r="C11" s="40"/>
      <c r="D11" s="50"/>
    </row>
    <row r="12" spans="2:4" ht="15">
      <c r="B12" s="50"/>
      <c r="C12" s="40"/>
      <c r="D12" s="50"/>
    </row>
    <row r="13" spans="1:7" s="38" customFormat="1" ht="12.75">
      <c r="A13" s="2"/>
      <c r="B13" s="2" t="s">
        <v>24</v>
      </c>
      <c r="C13" s="2"/>
      <c r="D13" s="2" t="s">
        <v>22</v>
      </c>
      <c r="E13" s="3" t="s">
        <v>138</v>
      </c>
      <c r="F13" s="2"/>
      <c r="G13" s="2" t="s">
        <v>25</v>
      </c>
    </row>
    <row r="14" spans="1:7" s="38" customFormat="1" ht="15" thickBot="1">
      <c r="A14" s="1" t="s">
        <v>123</v>
      </c>
      <c r="B14" s="1" t="s">
        <v>41</v>
      </c>
      <c r="C14" s="1"/>
      <c r="D14" s="1" t="s">
        <v>136</v>
      </c>
      <c r="E14" s="1" t="s">
        <v>137</v>
      </c>
      <c r="F14" s="1"/>
      <c r="G14" s="1" t="s">
        <v>26</v>
      </c>
    </row>
    <row r="15" spans="1:7" s="38" customFormat="1" ht="12.75">
      <c r="A15" s="184" t="s">
        <v>144</v>
      </c>
      <c r="B15" s="170">
        <v>71</v>
      </c>
      <c r="C15" s="170"/>
      <c r="D15" s="170">
        <v>50</v>
      </c>
      <c r="E15" s="170">
        <v>25</v>
      </c>
      <c r="F15" s="170"/>
      <c r="G15" s="170">
        <v>0</v>
      </c>
    </row>
    <row r="16" spans="1:7" s="38" customFormat="1" ht="12.75">
      <c r="A16" s="184" t="s">
        <v>142</v>
      </c>
      <c r="B16" s="170">
        <v>124</v>
      </c>
      <c r="C16" s="170"/>
      <c r="D16" s="170">
        <v>80</v>
      </c>
      <c r="E16" s="170">
        <v>25</v>
      </c>
      <c r="F16" s="170"/>
      <c r="G16" s="170">
        <v>40</v>
      </c>
    </row>
    <row r="17" s="38" customFormat="1" ht="12.75">
      <c r="A17" s="88"/>
    </row>
    <row r="18" spans="1:12" s="38" customFormat="1" ht="13.5" thickBot="1">
      <c r="A18" s="88"/>
      <c r="B18" s="1" t="s">
        <v>124</v>
      </c>
      <c r="C18" s="170">
        <v>4.14</v>
      </c>
      <c r="D18" s="128" t="s">
        <v>125</v>
      </c>
      <c r="J18" s="38">
        <f>B15*(C18/(C18-C20))</f>
        <v>99.97959183673471</v>
      </c>
      <c r="L18" s="38">
        <f>B15+B16-J18</f>
        <v>95.02040816326529</v>
      </c>
    </row>
    <row r="19" spans="1:3" s="38" customFormat="1" ht="12.75">
      <c r="A19" s="88"/>
      <c r="C19" s="170"/>
    </row>
    <row r="20" spans="1:12" s="38" customFormat="1" ht="13.5" thickBot="1">
      <c r="A20" s="88"/>
      <c r="B20" s="21" t="s">
        <v>145</v>
      </c>
      <c r="C20" s="185">
        <v>1.2</v>
      </c>
      <c r="D20" s="128" t="s">
        <v>125</v>
      </c>
      <c r="E20" s="128"/>
      <c r="J20" s="38">
        <f>J18*1000/C10/F24</f>
        <v>251.52098575279172</v>
      </c>
      <c r="L20" s="38">
        <f>L18*1000/C10/D25</f>
        <v>248.41936774709876</v>
      </c>
    </row>
    <row r="21" s="38" customFormat="1" ht="12.75">
      <c r="A21" s="88"/>
    </row>
    <row r="22" s="38" customFormat="1" ht="12.75">
      <c r="A22" s="88"/>
    </row>
    <row r="23" spans="2:8" s="38" customFormat="1" ht="13.5" thickBot="1">
      <c r="B23" s="20" t="s">
        <v>35</v>
      </c>
      <c r="C23" s="21"/>
      <c r="D23" s="21" t="s">
        <v>27</v>
      </c>
      <c r="E23" s="21"/>
      <c r="F23" s="21" t="s">
        <v>28</v>
      </c>
      <c r="G23" s="120"/>
      <c r="H23" s="120"/>
    </row>
    <row r="24" spans="2:12" s="38" customFormat="1" ht="12.75">
      <c r="B24" s="120" t="s">
        <v>146</v>
      </c>
      <c r="C24" s="120"/>
      <c r="D24" s="121">
        <f>INT(0.2*J20)*5+5</f>
        <v>255</v>
      </c>
      <c r="E24" s="121"/>
      <c r="F24" s="121">
        <f>200*(C20+0.5*E15/100)</f>
        <v>265</v>
      </c>
      <c r="G24" s="120"/>
      <c r="H24" s="120"/>
      <c r="J24" s="38">
        <f>J18/F28*100</f>
        <v>44.43537414965987</v>
      </c>
      <c r="L24" s="38">
        <f>L18/F29*100</f>
        <v>55.894357743097224</v>
      </c>
    </row>
    <row r="25" spans="2:10" s="38" customFormat="1" ht="12.75">
      <c r="B25" s="120" t="s">
        <v>147</v>
      </c>
      <c r="C25" s="120"/>
      <c r="D25" s="121">
        <f>D24</f>
        <v>255</v>
      </c>
      <c r="E25" s="121"/>
      <c r="F25" s="121">
        <f>INT(0.2*L20)*5+5</f>
        <v>250</v>
      </c>
      <c r="G25" s="120"/>
      <c r="H25" s="120"/>
      <c r="J25" s="38">
        <f>B15/J24</f>
        <v>1.5978260869565215</v>
      </c>
    </row>
    <row r="26" spans="2:13" s="38" customFormat="1" ht="12.75">
      <c r="B26" s="120"/>
      <c r="C26" s="120"/>
      <c r="D26" s="120"/>
      <c r="E26" s="120"/>
      <c r="F26" s="120"/>
      <c r="G26" s="120"/>
      <c r="H26" s="120"/>
      <c r="J26" s="38">
        <f>B15*(F28-0.5*E15)/100-J24*F28^2/20000</f>
        <v>38.39795918367345</v>
      </c>
      <c r="L26" s="38">
        <f>B16*0.5*F29/100-L24*(F29/100)^2/2</f>
        <v>24.63265306122453</v>
      </c>
      <c r="M26" s="38">
        <f>E35-8</f>
        <v>82</v>
      </c>
    </row>
    <row r="27" spans="2:8" s="38" customFormat="1" ht="13.5" thickBot="1">
      <c r="B27" s="20" t="s">
        <v>36</v>
      </c>
      <c r="C27" s="21"/>
      <c r="D27" s="21" t="s">
        <v>27</v>
      </c>
      <c r="E27" s="21"/>
      <c r="F27" s="21" t="s">
        <v>28</v>
      </c>
      <c r="G27" s="21"/>
      <c r="H27" s="1" t="s">
        <v>23</v>
      </c>
    </row>
    <row r="28" spans="2:14" s="38" customFormat="1" ht="12.75">
      <c r="B28" s="120" t="s">
        <v>146</v>
      </c>
      <c r="C28" s="120"/>
      <c r="D28" s="121">
        <f>D24-2*G16</f>
        <v>175</v>
      </c>
      <c r="E28" s="121"/>
      <c r="F28" s="121">
        <f>F24-G16-G15</f>
        <v>225</v>
      </c>
      <c r="G28" s="120"/>
      <c r="H28" s="185">
        <v>60</v>
      </c>
      <c r="J28" s="38">
        <f>M26*(D35*C7/J26/1.5/10^5)^0.5</f>
        <v>3.6240185563741165</v>
      </c>
      <c r="L28" s="38">
        <f>M26*(D35*C7/L26/1.5/10^5)^0.5</f>
        <v>4.524690617756375</v>
      </c>
      <c r="M28" s="38">
        <f>MIN(J28:L28)</f>
        <v>3.6240185563741165</v>
      </c>
      <c r="N28" s="38">
        <v>2.78</v>
      </c>
    </row>
    <row r="29" spans="2:14" s="38" customFormat="1" ht="12.75">
      <c r="B29" s="120" t="s">
        <v>147</v>
      </c>
      <c r="C29" s="120"/>
      <c r="D29" s="121">
        <f>D25-2*G16</f>
        <v>175</v>
      </c>
      <c r="E29" s="121"/>
      <c r="F29" s="121">
        <f>F25-2*G16</f>
        <v>170</v>
      </c>
      <c r="G29" s="120"/>
      <c r="H29" s="185">
        <v>60</v>
      </c>
      <c r="J29" s="38">
        <f>0.5*(0.87+(0.87^2-3.386/J28^2)^0.5)</f>
        <v>0.7882301724532479</v>
      </c>
      <c r="L29" s="38">
        <f>0.5*(0.87+(0.87^2-3.386/L28^2)^0.5)</f>
        <v>0.8195484453339934</v>
      </c>
      <c r="N29" s="38" t="b">
        <f>M28&gt;N28</f>
        <v>1</v>
      </c>
    </row>
    <row r="30" spans="2:13" s="38" customFormat="1" ht="12.75">
      <c r="B30" s="120"/>
      <c r="C30" s="120"/>
      <c r="D30" s="120"/>
      <c r="E30" s="120"/>
      <c r="F30" s="120"/>
      <c r="G30" s="120"/>
      <c r="H30" s="120"/>
      <c r="J30" s="38">
        <f>J26*1.5*10^5/J29/M26/C8</f>
        <v>24.753122633024493</v>
      </c>
      <c r="L30" s="38">
        <f>L26*1.5*10^5/L29/M26/C8</f>
        <v>15.272546820040407</v>
      </c>
      <c r="M30" s="38">
        <f>MAX(J30:L30)</f>
        <v>24.753122633024493</v>
      </c>
    </row>
    <row r="31" spans="2:8" s="38" customFormat="1" ht="12.75">
      <c r="B31" s="120"/>
      <c r="C31" s="120"/>
      <c r="D31" s="120"/>
      <c r="E31" s="120"/>
      <c r="F31" s="120"/>
      <c r="G31" s="120"/>
      <c r="H31" s="120"/>
    </row>
    <row r="32" spans="2:13" s="38" customFormat="1" ht="13.5" thickBot="1">
      <c r="B32" s="20" t="s">
        <v>127</v>
      </c>
      <c r="C32" s="120"/>
      <c r="D32" s="130" t="str">
        <f>IF(N29," ","unsafe bending")</f>
        <v> </v>
      </c>
      <c r="E32" s="92"/>
      <c r="F32" s="130"/>
      <c r="G32" s="130" t="str">
        <f>IF(L39," ","unsafe shear")</f>
        <v> </v>
      </c>
      <c r="H32" s="120"/>
      <c r="M32" s="38">
        <f>M30*4/3.14/E38^2*100</f>
        <v>6.515008325794729</v>
      </c>
    </row>
    <row r="33" spans="2:8" s="38" customFormat="1" ht="12.75">
      <c r="B33" s="120"/>
      <c r="C33" s="120"/>
      <c r="D33" s="130"/>
      <c r="E33" s="120"/>
      <c r="F33" s="130"/>
      <c r="G33" s="130"/>
      <c r="H33" s="120"/>
    </row>
    <row r="34" spans="2:14" s="38" customFormat="1" ht="13.5" thickBot="1">
      <c r="B34" s="4" t="s">
        <v>148</v>
      </c>
      <c r="C34" s="1"/>
      <c r="D34" s="1" t="s">
        <v>3</v>
      </c>
      <c r="E34" s="1" t="s">
        <v>23</v>
      </c>
      <c r="F34" s="120"/>
      <c r="G34" s="120"/>
      <c r="H34" s="120"/>
      <c r="J34" s="38">
        <f>(F29-E16)/2/100</f>
        <v>0.725</v>
      </c>
      <c r="K34" s="38">
        <f>L24*J34^2/2</f>
        <v>14.689735894357739</v>
      </c>
      <c r="L34" s="38">
        <f>M26*(D35*C7/K34/1.5/10^5)^0.5</f>
        <v>5.859188769866582</v>
      </c>
      <c r="M34" s="38">
        <f>0.5*(0.87+(0.87^2-3.386/L34^2)^0.5)</f>
        <v>0.8406689944603613</v>
      </c>
      <c r="N34" s="38">
        <v>0.826</v>
      </c>
    </row>
    <row r="35" spans="2:13" s="38" customFormat="1" ht="12.75">
      <c r="B35" s="91"/>
      <c r="C35" s="91"/>
      <c r="D35" s="185">
        <v>50</v>
      </c>
      <c r="E35" s="185">
        <v>90</v>
      </c>
      <c r="F35" s="120"/>
      <c r="G35" s="120"/>
      <c r="H35" s="120"/>
      <c r="M35" s="38">
        <f>MIN(M34:N34)</f>
        <v>0.826</v>
      </c>
    </row>
    <row r="36" spans="2:14" ht="12.75">
      <c r="B36" s="123"/>
      <c r="C36" s="123"/>
      <c r="D36" s="123"/>
      <c r="E36" s="123"/>
      <c r="F36" s="123"/>
      <c r="G36" s="123"/>
      <c r="H36" s="123"/>
      <c r="K36" s="30">
        <f>0.15/100*D35*M26</f>
        <v>6.1499999999999995</v>
      </c>
      <c r="L36" s="30">
        <f>K34*1.5*10^5/M35/M26/C8</f>
        <v>9.036678806643424</v>
      </c>
      <c r="M36" s="30">
        <f>MAX(K36:L36)</f>
        <v>9.036678806643424</v>
      </c>
      <c r="N36" s="30">
        <f>M36*4/3.14/E39^2*100</f>
        <v>4.496754979420493</v>
      </c>
    </row>
    <row r="37" spans="2:8" ht="13.5" thickBot="1">
      <c r="B37" s="20" t="s">
        <v>149</v>
      </c>
      <c r="C37" s="20"/>
      <c r="D37" s="21" t="s">
        <v>30</v>
      </c>
      <c r="E37" s="5" t="s">
        <v>5</v>
      </c>
      <c r="F37" s="123"/>
      <c r="G37" s="123"/>
      <c r="H37" s="123"/>
    </row>
    <row r="38" spans="2:10" ht="12.75">
      <c r="B38" s="132" t="s">
        <v>150</v>
      </c>
      <c r="C38" s="125"/>
      <c r="D38" s="126">
        <f>INT(M32)+1</f>
        <v>7</v>
      </c>
      <c r="E38" s="201">
        <v>22</v>
      </c>
      <c r="F38" s="127"/>
      <c r="G38" s="120"/>
      <c r="H38" s="123"/>
      <c r="J38" s="38">
        <f>J24*F28/100-B15</f>
        <v>28.979591836734713</v>
      </c>
    </row>
    <row r="39" spans="2:12" ht="12.75">
      <c r="B39" s="90" t="s">
        <v>151</v>
      </c>
      <c r="C39" s="120"/>
      <c r="D39" s="121">
        <f>INT(N36)+1</f>
        <v>5</v>
      </c>
      <c r="E39" s="186">
        <v>16</v>
      </c>
      <c r="F39" s="120"/>
      <c r="G39" s="123"/>
      <c r="H39" s="123"/>
      <c r="J39" s="38">
        <f>J38*1.5*1000/D35/M26</f>
        <v>10.602289696366359</v>
      </c>
      <c r="K39" s="30">
        <f>0.75*(C7/1.5)^0.5</f>
        <v>9.185586535436919</v>
      </c>
      <c r="L39" s="30" t="b">
        <f>J39&lt;3*K39</f>
        <v>1</v>
      </c>
    </row>
    <row r="40" spans="2:11" ht="12.75">
      <c r="B40" s="123"/>
      <c r="C40" s="123"/>
      <c r="D40" s="123"/>
      <c r="E40" s="98"/>
      <c r="F40" s="123"/>
      <c r="G40" s="123"/>
      <c r="H40" s="123"/>
      <c r="J40" s="38">
        <f>(J39-0.5*K39)*1.15*D35/C9/F42*2</f>
        <v>0.07198875930151129</v>
      </c>
      <c r="K40" s="30">
        <f>J40*4/3.14/E42^2*5000</f>
        <v>4.585271293089891</v>
      </c>
    </row>
    <row r="41" spans="2:8" ht="13.5" thickBot="1">
      <c r="B41" s="20" t="s">
        <v>152</v>
      </c>
      <c r="C41" s="20"/>
      <c r="D41" s="21" t="s">
        <v>30</v>
      </c>
      <c r="E41" s="5" t="s">
        <v>5</v>
      </c>
      <c r="F41" s="127"/>
      <c r="G41" s="120"/>
      <c r="H41" s="123"/>
    </row>
    <row r="42" spans="2:16" ht="12.75">
      <c r="B42" s="132"/>
      <c r="C42" s="125"/>
      <c r="D42" s="126">
        <f>INT(K40)+1</f>
        <v>5</v>
      </c>
      <c r="E42" s="201">
        <v>10</v>
      </c>
      <c r="F42" s="185">
        <v>4</v>
      </c>
      <c r="G42" s="123" t="s">
        <v>153</v>
      </c>
      <c r="H42" s="123"/>
      <c r="J42" s="38">
        <f>J18/D28*100</f>
        <v>57.13119533527697</v>
      </c>
      <c r="L42" s="30">
        <f>L18/D29*100</f>
        <v>54.297376093294446</v>
      </c>
      <c r="N42" s="30">
        <f>J42*(K43-0.5*J45/100)</f>
        <v>19.99591836734694</v>
      </c>
      <c r="P42" s="30">
        <f>L42*(M44-0.5*L45/100)</f>
        <v>10.859475218658886</v>
      </c>
    </row>
    <row r="43" spans="2:16" ht="12.75">
      <c r="B43" s="132"/>
      <c r="C43" s="125"/>
      <c r="D43" s="132"/>
      <c r="E43" s="132"/>
      <c r="F43" s="123"/>
      <c r="G43" s="123"/>
      <c r="H43" s="123"/>
      <c r="J43" s="38">
        <f>(D28-D15)/200</f>
        <v>0.625</v>
      </c>
      <c r="K43" s="30">
        <f>(D28-D35)/200</f>
        <v>0.625</v>
      </c>
      <c r="L43" s="30">
        <f>(D29-D16)/200</f>
        <v>0.475</v>
      </c>
      <c r="M43" s="30">
        <f>(D29-D35)/200</f>
        <v>0.625</v>
      </c>
      <c r="N43" s="30">
        <f>N42*1.5*1000/J45/F28</f>
        <v>2.4237476808905383</v>
      </c>
      <c r="O43" s="30">
        <f>0.49*(C7/1.5)^0.5</f>
        <v>6.001249869818786</v>
      </c>
      <c r="P43" s="30">
        <f>P42*1.5*1000/L45/F29</f>
        <v>1.742161799784848</v>
      </c>
    </row>
    <row r="44" spans="2:16" ht="13.5" thickBot="1">
      <c r="B44" s="20" t="s">
        <v>130</v>
      </c>
      <c r="C44" s="120"/>
      <c r="D44" s="123"/>
      <c r="E44" s="120"/>
      <c r="F44" s="120"/>
      <c r="G44" s="130"/>
      <c r="H44" s="123"/>
      <c r="J44" s="38">
        <f>J42*K44^2/2</f>
        <v>11.158436588921283</v>
      </c>
      <c r="K44" s="30">
        <f>MIN(J43:K43)</f>
        <v>0.625</v>
      </c>
      <c r="L44" s="30">
        <f>L42*M44^2/2</f>
        <v>6.12542274052478</v>
      </c>
      <c r="M44" s="30">
        <f>MIN(L43:M43)</f>
        <v>0.475</v>
      </c>
      <c r="N44" s="30" t="b">
        <f>N43&gt;O43</f>
        <v>0</v>
      </c>
      <c r="P44" s="30" t="b">
        <f>P43&gt;O43</f>
        <v>0</v>
      </c>
    </row>
    <row r="45" spans="2:12" ht="12.75">
      <c r="B45" s="123"/>
      <c r="C45" s="123"/>
      <c r="D45" s="123"/>
      <c r="E45" s="123"/>
      <c r="F45" s="123"/>
      <c r="G45" s="123"/>
      <c r="H45" s="123"/>
      <c r="J45" s="38">
        <f>H28-5</f>
        <v>55</v>
      </c>
      <c r="L45" s="30">
        <f>H29-5</f>
        <v>55</v>
      </c>
    </row>
    <row r="46" spans="2:14" ht="13.5" thickBot="1">
      <c r="B46" s="20" t="s">
        <v>129</v>
      </c>
      <c r="C46" s="20"/>
      <c r="D46" s="21" t="s">
        <v>30</v>
      </c>
      <c r="E46" s="5" t="s">
        <v>5</v>
      </c>
      <c r="F46" s="20"/>
      <c r="G46" s="21" t="s">
        <v>32</v>
      </c>
      <c r="H46" s="123"/>
      <c r="J46" s="38">
        <f>J45*(F28*C7/1.5/J44/10^5)^0.5</f>
        <v>9.565284751753019</v>
      </c>
      <c r="K46" s="38">
        <v>2.78</v>
      </c>
      <c r="L46" s="38">
        <f>L45*(F29*C7/1.5/L44/10^5)^0.5</f>
        <v>11.221857420196526</v>
      </c>
      <c r="M46" s="30" t="b">
        <f>J46&gt;K46</f>
        <v>1</v>
      </c>
      <c r="N46" s="30" t="b">
        <f>L46&gt;K46</f>
        <v>1</v>
      </c>
    </row>
    <row r="47" spans="2:12" ht="12.75">
      <c r="B47" s="132" t="s">
        <v>146</v>
      </c>
      <c r="C47" s="125"/>
      <c r="D47" s="126">
        <f>INT(J50)+1</f>
        <v>5</v>
      </c>
      <c r="E47" s="201">
        <v>16</v>
      </c>
      <c r="F47" s="127" t="s">
        <v>31</v>
      </c>
      <c r="G47" s="121">
        <f>INT(D47*F28/100)+2</f>
        <v>13</v>
      </c>
      <c r="H47" s="131" t="str">
        <f>IF(N44,"unsafe shear"," ")</f>
        <v> </v>
      </c>
      <c r="I47" s="133" t="str">
        <f>IF(M46," ","unsafe bending")</f>
        <v> </v>
      </c>
      <c r="J47" s="38">
        <f>0.5*(0.87+(0.87^2-3.386/J46^2)^0.5)</f>
        <v>0.8592323598979121</v>
      </c>
      <c r="K47" s="38">
        <v>0.826</v>
      </c>
      <c r="L47" s="38">
        <f>0.5*(0.87+(0.87^2-3.386/L46^2)^0.5)</f>
        <v>0.8622037173005161</v>
      </c>
    </row>
    <row r="48" spans="2:13" ht="12.75">
      <c r="B48" s="120" t="s">
        <v>147</v>
      </c>
      <c r="C48" s="120"/>
      <c r="D48" s="121">
        <f>INT(L50)+1</f>
        <v>5</v>
      </c>
      <c r="E48" s="186">
        <v>16</v>
      </c>
      <c r="F48" s="134" t="s">
        <v>31</v>
      </c>
      <c r="G48" s="121">
        <f>INT(D48*F29/100)+2</f>
        <v>10</v>
      </c>
      <c r="H48" s="131" t="str">
        <f>IF(P44,"unsafe shear"," ")</f>
        <v> </v>
      </c>
      <c r="I48" s="133" t="str">
        <f>IF(N46," ","unsafe bending")</f>
        <v> </v>
      </c>
      <c r="J48" s="38">
        <f>J44*1.5*10^5/K48/J45/C8</f>
        <v>10.234093283550962</v>
      </c>
      <c r="K48" s="38">
        <f>MIN(J47:K47)</f>
        <v>0.826</v>
      </c>
      <c r="L48" s="38">
        <f>L44*1.5*10^5/M48/L45/C8</f>
        <v>5.618004567947741</v>
      </c>
      <c r="M48" s="30">
        <f>MIN(K47:L47)</f>
        <v>0.826</v>
      </c>
    </row>
    <row r="49" spans="10:13" ht="12.75">
      <c r="J49" s="38">
        <f>J48/F28*100</f>
        <v>4.548485903800428</v>
      </c>
      <c r="K49" s="30">
        <f>0.15*J45</f>
        <v>8.25</v>
      </c>
      <c r="L49" s="30">
        <f>L48/F29*100</f>
        <v>3.3047085693810243</v>
      </c>
      <c r="M49" s="30">
        <f>0.15*L45</f>
        <v>8.25</v>
      </c>
    </row>
    <row r="50" spans="4:13" ht="12.75">
      <c r="D50" s="101"/>
      <c r="E50" s="101"/>
      <c r="F50" s="102"/>
      <c r="G50" s="38"/>
      <c r="J50" s="38">
        <f>K50*4/3.14/E47^2*100</f>
        <v>4.105294585987261</v>
      </c>
      <c r="K50" s="30">
        <f>MAX(J49:K49)</f>
        <v>8.25</v>
      </c>
      <c r="L50" s="30">
        <f>M50*4/3.14/E48^2*100</f>
        <v>4.105294585987261</v>
      </c>
      <c r="M50" s="30">
        <f>MAX(L49:M49)</f>
        <v>8.25</v>
      </c>
    </row>
  </sheetData>
  <sheetProtection sheet="1" objects="1" scenarios="1"/>
  <mergeCells count="1">
    <mergeCell ref="C4:H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&amp;R&amp;"Arial,Bold Italic"&amp;9Concrete design using the ultimate limit design method.</oddHeader>
    <oddFooter>&amp;L&amp;"Arial,Bold Italic"&amp;9By: Eng. Mahmoud El-Kateb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C5" sqref="C5:J5"/>
    </sheetView>
  </sheetViews>
  <sheetFormatPr defaultColWidth="9.140625" defaultRowHeight="12.75"/>
  <cols>
    <col min="1" max="1" width="4.57421875" style="30" customWidth="1"/>
    <col min="2" max="2" width="23.140625" style="30" customWidth="1"/>
    <col min="3" max="3" width="7.00390625" style="30" customWidth="1"/>
    <col min="4" max="4" width="9.57421875" style="30" customWidth="1"/>
    <col min="5" max="5" width="6.7109375" style="30" customWidth="1"/>
    <col min="6" max="6" width="7.421875" style="38" customWidth="1"/>
    <col min="7" max="7" width="9.140625" style="30" customWidth="1"/>
    <col min="8" max="8" width="5.421875" style="30" customWidth="1"/>
    <col min="9" max="9" width="5.140625" style="30" customWidth="1"/>
    <col min="10" max="10" width="9.140625" style="68" customWidth="1"/>
    <col min="11" max="14" width="9.140625" style="68" hidden="1" customWidth="1"/>
    <col min="15" max="15" width="10.28125" style="68" hidden="1" customWidth="1"/>
    <col min="16" max="16" width="9.140625" style="30" hidden="1" customWidth="1"/>
    <col min="17" max="16384" width="9.140625" style="30" customWidth="1"/>
  </cols>
  <sheetData>
    <row r="1" ht="22.5">
      <c r="A1" s="34" t="s">
        <v>206</v>
      </c>
    </row>
    <row r="2" ht="12.75" customHeight="1">
      <c r="A2" s="34"/>
    </row>
    <row r="3" ht="12.75" customHeight="1">
      <c r="A3" s="81"/>
    </row>
    <row r="5" spans="2:10" ht="18.75">
      <c r="B5" s="35" t="s">
        <v>33</v>
      </c>
      <c r="C5" s="249"/>
      <c r="D5" s="249"/>
      <c r="E5" s="249"/>
      <c r="F5" s="249"/>
      <c r="G5" s="249"/>
      <c r="H5" s="249"/>
      <c r="I5" s="249"/>
      <c r="J5" s="249"/>
    </row>
    <row r="8" ht="13.5" thickBot="1"/>
    <row r="9" spans="2:4" ht="24" customHeight="1" thickTop="1">
      <c r="B9" s="215" t="s">
        <v>207</v>
      </c>
      <c r="C9" s="216">
        <v>225</v>
      </c>
      <c r="D9" s="217" t="s">
        <v>8</v>
      </c>
    </row>
    <row r="10" spans="2:4" ht="24" customHeight="1">
      <c r="B10" s="141" t="s">
        <v>43</v>
      </c>
      <c r="C10" s="218">
        <v>3600</v>
      </c>
      <c r="D10" s="219" t="s">
        <v>8</v>
      </c>
    </row>
    <row r="11" spans="2:14" ht="24" customHeight="1">
      <c r="B11" s="141" t="s">
        <v>19</v>
      </c>
      <c r="C11" s="220">
        <v>1</v>
      </c>
      <c r="D11" s="219" t="s">
        <v>8</v>
      </c>
      <c r="G11" s="203">
        <v>0.25</v>
      </c>
      <c r="M11" s="68">
        <f>C14*3.14/180</f>
        <v>0.3837777777777778</v>
      </c>
      <c r="N11" s="140">
        <f>(F22-F21)/2</f>
        <v>0.19999999999999996</v>
      </c>
    </row>
    <row r="12" spans="2:16" ht="23.25" customHeight="1">
      <c r="B12" s="141" t="s">
        <v>208</v>
      </c>
      <c r="C12" s="220">
        <v>1.8</v>
      </c>
      <c r="D12" s="219" t="s">
        <v>209</v>
      </c>
      <c r="H12" s="212">
        <v>0.2</v>
      </c>
      <c r="I12" s="211" t="s">
        <v>228</v>
      </c>
      <c r="K12" s="68" t="s">
        <v>210</v>
      </c>
      <c r="L12" s="68" t="s">
        <v>211</v>
      </c>
      <c r="M12" s="68" t="s">
        <v>212</v>
      </c>
      <c r="N12" s="68" t="s">
        <v>213</v>
      </c>
      <c r="O12" s="68" t="s">
        <v>214</v>
      </c>
      <c r="P12" s="30">
        <f>L20*(F22/2-N11/2)</f>
        <v>1.8953999999999998</v>
      </c>
    </row>
    <row r="13" spans="2:16" ht="24" customHeight="1">
      <c r="B13" s="141" t="s">
        <v>215</v>
      </c>
      <c r="C13" s="220">
        <v>0</v>
      </c>
      <c r="D13" s="219" t="s">
        <v>8</v>
      </c>
      <c r="K13" s="68">
        <f>(H15+C19+C20)*C12*D15</f>
        <v>2.2680000000000002</v>
      </c>
      <c r="L13" s="68">
        <f>G11*F15*2.5</f>
        <v>2.1875</v>
      </c>
      <c r="M13" s="68">
        <f>L18*TAN(M11)+C13*10*F22</f>
        <v>6.085061245962374</v>
      </c>
      <c r="N13" s="68">
        <f>K14*(H15+C19+C20)/3+K17*(H15+C19+C20)/2</f>
        <v>7.197120000000002</v>
      </c>
      <c r="O13" s="68">
        <f>N13</f>
        <v>7.197120000000002</v>
      </c>
      <c r="P13" s="30">
        <f>L19*(F22/2-0.5*N11-0.5*H17)</f>
        <v>0.18</v>
      </c>
    </row>
    <row r="14" spans="2:16" ht="24" customHeight="1">
      <c r="B14" s="141" t="s">
        <v>229</v>
      </c>
      <c r="C14" s="213">
        <v>22</v>
      </c>
      <c r="D14" s="214" t="s">
        <v>230</v>
      </c>
      <c r="K14" s="68">
        <f>K13*0.5*(H15+C19+C20)</f>
        <v>4.7628</v>
      </c>
      <c r="L14" s="68">
        <f>F21*C19*2.5</f>
        <v>3.75</v>
      </c>
      <c r="N14" s="68">
        <f>L14*(N11+F21/2)</f>
        <v>5.4375</v>
      </c>
      <c r="O14" s="68">
        <f>L13*(N11+E17+G11/2-F22/2)</f>
        <v>0.9296875000000001</v>
      </c>
      <c r="P14" s="30">
        <f>L21*(F22/2-N11/2)</f>
        <v>0.48599999999999993</v>
      </c>
    </row>
    <row r="15" spans="2:16" ht="24" customHeight="1" thickBot="1">
      <c r="B15" s="142" t="s">
        <v>216</v>
      </c>
      <c r="C15" s="143"/>
      <c r="D15" s="202">
        <v>0.3</v>
      </c>
      <c r="E15" s="68"/>
      <c r="F15" s="204">
        <v>3.5</v>
      </c>
      <c r="G15" s="68"/>
      <c r="H15" s="205">
        <v>3.3</v>
      </c>
      <c r="L15" s="68">
        <f>F22*C20*2.2</f>
        <v>1.9140000000000001</v>
      </c>
      <c r="N15" s="68">
        <f>L15*F22/2</f>
        <v>2.7753</v>
      </c>
      <c r="O15" s="68">
        <f>L16*(N11+E17+G11+H17/2-F22/2)</f>
        <v>3.7422</v>
      </c>
      <c r="P15" s="30">
        <f>L17*(F22/2-N11-E17/2)</f>
        <v>0.5301000000000001</v>
      </c>
    </row>
    <row r="16" spans="5:16" ht="24" customHeight="1" thickTop="1">
      <c r="E16" s="68"/>
      <c r="F16" s="91"/>
      <c r="G16" s="68"/>
      <c r="H16" s="68"/>
      <c r="K16" s="68">
        <f>0.5*(D17+C19+C20)^2*C12</f>
        <v>1.5210000000000001</v>
      </c>
      <c r="L16" s="68">
        <f>H15*H17*C12</f>
        <v>4.1579999999999995</v>
      </c>
      <c r="N16" s="68">
        <f>L13*(N11+E17+G11/2)</f>
        <v>4.1015625</v>
      </c>
      <c r="O16" s="68">
        <f>O13-O14-O15+P15+P14-P12-P13</f>
        <v>1.4659325000000019</v>
      </c>
      <c r="P16" s="30" t="s">
        <v>217</v>
      </c>
    </row>
    <row r="17" spans="3:16" ht="22.5" customHeight="1">
      <c r="C17" s="225"/>
      <c r="D17" s="226">
        <v>0.4</v>
      </c>
      <c r="E17" s="144">
        <f>F21-H17-G11</f>
        <v>1.55</v>
      </c>
      <c r="F17" s="91"/>
      <c r="G17" s="68"/>
      <c r="H17" s="206">
        <v>0.7</v>
      </c>
      <c r="K17" s="68">
        <f>H12*D15*(H15+C19+C20)</f>
        <v>0.252</v>
      </c>
      <c r="L17" s="68">
        <f>D17*E17*C12</f>
        <v>1.1160000000000003</v>
      </c>
      <c r="N17" s="68">
        <f>L16*(N11+E17+G11+H17/2)</f>
        <v>9.771299999999998</v>
      </c>
      <c r="O17" s="68">
        <f>O16/L18</f>
        <v>0.09727811141710091</v>
      </c>
      <c r="P17" s="30" t="s">
        <v>218</v>
      </c>
    </row>
    <row r="18" spans="2:14" ht="22.5" customHeight="1">
      <c r="B18" s="50"/>
      <c r="E18" s="68"/>
      <c r="F18" s="91"/>
      <c r="G18" s="68"/>
      <c r="H18" s="68"/>
      <c r="K18" s="68">
        <f>K14+K17-K16</f>
        <v>3.4938000000000002</v>
      </c>
      <c r="L18" s="68">
        <f>SUM(L13:L17)+L19+L20+L21</f>
        <v>15.069499999999998</v>
      </c>
      <c r="N18" s="68">
        <f>N14+N15+N17+N16</f>
        <v>22.085662499999998</v>
      </c>
    </row>
    <row r="19" spans="2:12" ht="22.5" customHeight="1">
      <c r="B19" s="50"/>
      <c r="C19" s="207">
        <v>0.6</v>
      </c>
      <c r="E19" s="68"/>
      <c r="F19" s="91"/>
      <c r="G19" s="68"/>
      <c r="H19" s="68"/>
      <c r="L19" s="68">
        <f>H12*(H17+N11)</f>
        <v>0.18</v>
      </c>
    </row>
    <row r="20" spans="3:12" ht="12.75">
      <c r="C20" s="207">
        <v>0.3</v>
      </c>
      <c r="E20" s="68"/>
      <c r="F20" s="91"/>
      <c r="G20" s="68"/>
      <c r="H20" s="68"/>
      <c r="L20" s="68">
        <f>N11*(H15+C19)*C12</f>
        <v>1.4039999999999997</v>
      </c>
    </row>
    <row r="21" spans="5:12" ht="12.75">
      <c r="E21" s="68"/>
      <c r="F21" s="203">
        <v>2.5</v>
      </c>
      <c r="G21" s="68"/>
      <c r="H21" s="68"/>
      <c r="L21" s="68">
        <f>N11*(D17+C19)*C12</f>
        <v>0.35999999999999993</v>
      </c>
    </row>
    <row r="22" spans="5:15" ht="12.75">
      <c r="E22" s="68"/>
      <c r="F22" s="203">
        <v>2.9</v>
      </c>
      <c r="G22" s="68"/>
      <c r="H22" s="68"/>
      <c r="N22" s="68">
        <f>0.5*H15^2*C12*D15</f>
        <v>2.9402999999999992</v>
      </c>
      <c r="O22" s="68">
        <f>H12*D15</f>
        <v>0.06</v>
      </c>
    </row>
    <row r="23" spans="14:15" ht="12.75">
      <c r="N23" s="68">
        <f>N22*H15/3</f>
        <v>3.2343299999999986</v>
      </c>
      <c r="O23" s="68">
        <f>O22*H15^2/2</f>
        <v>0.32669999999999993</v>
      </c>
    </row>
    <row r="24" ht="12.75">
      <c r="N24" s="68">
        <f>N23+O23</f>
        <v>3.5610299999999984</v>
      </c>
    </row>
    <row r="25" spans="2:4" ht="12.75">
      <c r="B25" s="145" t="s">
        <v>219</v>
      </c>
      <c r="C25" s="146"/>
      <c r="D25" s="84">
        <f>M13/K18</f>
        <v>1.7416741788203025</v>
      </c>
    </row>
    <row r="26" spans="2:4" ht="12.75">
      <c r="B26" s="68"/>
      <c r="C26" s="140"/>
      <c r="D26" s="137"/>
    </row>
    <row r="27" spans="2:5" ht="12.75">
      <c r="B27" s="145" t="s">
        <v>220</v>
      </c>
      <c r="C27" s="147"/>
      <c r="D27" s="148"/>
      <c r="E27" s="149">
        <f>N18/N13</f>
        <v>3.0686805972388944</v>
      </c>
    </row>
    <row r="29" spans="2:13" ht="18" customHeight="1">
      <c r="B29" s="145" t="s">
        <v>221</v>
      </c>
      <c r="C29" s="84">
        <f>L18/F22*(1+6*O17/F22)/10</f>
        <v>0.6242228894173604</v>
      </c>
      <c r="D29" s="68" t="s">
        <v>180</v>
      </c>
      <c r="F29" s="92" t="str">
        <f>IF(L29,"Unsafe stress","Safe stress")</f>
        <v>Safe stress</v>
      </c>
      <c r="G29" s="131"/>
      <c r="H29" s="131" t="str">
        <f>IF(M29,"Tension on soil","No tension on soil")</f>
        <v>No tension on soil</v>
      </c>
      <c r="I29" s="131"/>
      <c r="J29" s="131"/>
      <c r="L29" s="68" t="b">
        <f>C29&gt;C11</f>
        <v>0</v>
      </c>
      <c r="M29" s="68" t="b">
        <f>C29&lt;0</f>
        <v>0</v>
      </c>
    </row>
    <row r="30" spans="2:13" ht="18" customHeight="1">
      <c r="B30" s="145" t="s">
        <v>222</v>
      </c>
      <c r="C30" s="84">
        <f>L18/F22*(1-6*O17/F22)/10</f>
        <v>0.41505297265160496</v>
      </c>
      <c r="D30" s="68" t="s">
        <v>180</v>
      </c>
      <c r="F30" s="92" t="str">
        <f>IF(L30,"Unsafe stress","Safe stress")</f>
        <v>Safe stress</v>
      </c>
      <c r="G30" s="131"/>
      <c r="H30" s="131" t="str">
        <f>IF(M30,"Tension on soil","No tension on soil")</f>
        <v>No tension on soil</v>
      </c>
      <c r="I30" s="131"/>
      <c r="J30" s="131"/>
      <c r="L30" s="68" t="b">
        <f>C30&gt;C11</f>
        <v>0</v>
      </c>
      <c r="M30" s="68" t="b">
        <f>C30&lt;0</f>
        <v>0</v>
      </c>
    </row>
    <row r="31" spans="2:6" ht="18" customHeight="1">
      <c r="B31" s="84"/>
      <c r="C31" s="84"/>
      <c r="D31" s="68"/>
      <c r="F31" s="91"/>
    </row>
    <row r="33" spans="1:9" ht="13.5" thickBot="1">
      <c r="A33" s="68"/>
      <c r="B33" s="150" t="s">
        <v>37</v>
      </c>
      <c r="C33" s="68"/>
      <c r="D33" s="68"/>
      <c r="E33" s="68"/>
      <c r="F33" s="91"/>
      <c r="G33" s="68"/>
      <c r="H33" s="68"/>
      <c r="I33" s="68"/>
    </row>
    <row r="34" spans="1:12" ht="12.75">
      <c r="A34" s="68"/>
      <c r="B34" s="68"/>
      <c r="C34" s="68"/>
      <c r="D34" s="68"/>
      <c r="E34" s="68"/>
      <c r="F34" s="91"/>
      <c r="G34" s="68"/>
      <c r="H34" s="68"/>
      <c r="I34" s="68"/>
      <c r="L34" s="140">
        <f>C29-C30</f>
        <v>0.20916991676575541</v>
      </c>
    </row>
    <row r="35" spans="1:13" ht="18" customHeight="1" thickBot="1">
      <c r="A35" s="68"/>
      <c r="B35" s="68"/>
      <c r="C35" s="1" t="s">
        <v>89</v>
      </c>
      <c r="D35" s="21" t="s">
        <v>0</v>
      </c>
      <c r="E35" s="21" t="s">
        <v>1</v>
      </c>
      <c r="F35" s="21" t="s">
        <v>225</v>
      </c>
      <c r="G35" s="21" t="s">
        <v>226</v>
      </c>
      <c r="H35" s="68"/>
      <c r="I35" s="151"/>
      <c r="M35" s="68">
        <f>0.5*(0.87+(0.7569-3.386/D37^2)^0.5)</f>
        <v>0.8528977302404428</v>
      </c>
    </row>
    <row r="36" spans="1:15" ht="12.75">
      <c r="A36" s="68"/>
      <c r="B36" s="152" t="s">
        <v>223</v>
      </c>
      <c r="C36" s="137">
        <f>N24*1.5</f>
        <v>5.341544999999997</v>
      </c>
      <c r="D36" s="84">
        <f>(G11*100-3)*($C$9*100/C36/10^5)^0.5</f>
        <v>4.51523640985731</v>
      </c>
      <c r="E36" s="122">
        <f>MIN(L36:M36)</f>
        <v>0.8193230086788976</v>
      </c>
      <c r="F36" s="84">
        <f>C36*10^5/E36/(G11*100-3)/C10</f>
        <v>8.231643599115861</v>
      </c>
      <c r="G36" s="84">
        <f>0.15*(G11*100-3)</f>
        <v>3.3</v>
      </c>
      <c r="H36" s="153">
        <f>O36/N36+0.5</f>
        <v>7.782062631914243</v>
      </c>
      <c r="I36" s="154" t="s">
        <v>5</v>
      </c>
      <c r="J36" s="208">
        <v>12</v>
      </c>
      <c r="L36" s="68">
        <f>0.5*(0.87+(0.7569-3.386/D36^2)^0.5)</f>
        <v>0.8193230086788976</v>
      </c>
      <c r="M36" s="68">
        <v>0.826</v>
      </c>
      <c r="N36" s="68">
        <f>3.14/4*J36^2/100</f>
        <v>1.1304</v>
      </c>
      <c r="O36" s="140">
        <f>MAX(F36:G36)</f>
        <v>8.231643599115861</v>
      </c>
    </row>
    <row r="37" spans="1:13" ht="12.75">
      <c r="A37" s="68"/>
      <c r="B37" s="152" t="s">
        <v>224</v>
      </c>
      <c r="C37" s="137">
        <f>N39*1.5</f>
        <v>11.728207625676278</v>
      </c>
      <c r="D37" s="84">
        <f>(C19*100-5)*($C$9*100/C37/10^5)^0.5</f>
        <v>7.617950137190433</v>
      </c>
      <c r="E37" s="122">
        <f>MIN(M35:M36)</f>
        <v>0.826</v>
      </c>
      <c r="F37" s="84">
        <f>C37*10^5/E37/(C19*100-5)/C10</f>
        <v>7.171110393081101</v>
      </c>
      <c r="G37" s="84">
        <f>0.15*(C19*100-5)</f>
        <v>8.25</v>
      </c>
      <c r="H37" s="153">
        <f>L43/N41+0.5</f>
        <v>4.60529458598726</v>
      </c>
      <c r="I37" s="154" t="s">
        <v>5</v>
      </c>
      <c r="J37" s="208">
        <v>16</v>
      </c>
      <c r="L37" s="68">
        <f>(N11+E17)/F22*L34</f>
        <v>0.12622322563450758</v>
      </c>
      <c r="M37" s="140">
        <f>C29-L37</f>
        <v>0.49799966378285276</v>
      </c>
    </row>
    <row r="39" spans="12:14" ht="12.75">
      <c r="L39" s="68">
        <f>(M37+C29)/2</f>
        <v>0.5611112766001065</v>
      </c>
      <c r="M39" s="68">
        <f>L39*F22/F21</f>
        <v>0.6508890808561235</v>
      </c>
      <c r="N39" s="68">
        <f>M39*E17^2/2*10</f>
        <v>7.818805083784185</v>
      </c>
    </row>
    <row r="41" spans="12:14" ht="12.75">
      <c r="L41" s="68">
        <f>(913.45*D37^3-2023.4*D37^2+1607.4*D37+1440.7)*C10/2000</f>
        <v>540165.6469444962</v>
      </c>
      <c r="M41" s="68">
        <f>1877*C10/2000</f>
        <v>3378.6</v>
      </c>
      <c r="N41" s="68">
        <f>3.14/4*J37^2/100</f>
        <v>2.0096000000000003</v>
      </c>
    </row>
    <row r="43" ht="12.75">
      <c r="L43" s="140">
        <f>MAX(F37:G37)</f>
        <v>8.25</v>
      </c>
    </row>
  </sheetData>
  <sheetProtection sheet="1" objects="1" scenarios="1"/>
  <mergeCells count="1">
    <mergeCell ref="C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&amp;R&amp;"Arial,Bold Italic"&amp;9Concrete design using the ultimate limit design method.</oddHeader>
    <oddFooter>&amp;L&amp;"Arial,Bold Italic"&amp;9By: Eng. Mahmoud El-Kateb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C4" sqref="C4:J4"/>
    </sheetView>
  </sheetViews>
  <sheetFormatPr defaultColWidth="9.140625" defaultRowHeight="12.75"/>
  <cols>
    <col min="1" max="1" width="4.57421875" style="30" customWidth="1"/>
    <col min="2" max="2" width="16.7109375" style="30" customWidth="1"/>
    <col min="3" max="3" width="7.7109375" style="30" customWidth="1"/>
    <col min="4" max="4" width="8.00390625" style="30" customWidth="1"/>
    <col min="5" max="5" width="7.7109375" style="30" customWidth="1"/>
    <col min="6" max="6" width="9.28125" style="30" bestFit="1" customWidth="1"/>
    <col min="7" max="7" width="9.140625" style="30" customWidth="1"/>
    <col min="8" max="8" width="6.7109375" style="30" customWidth="1"/>
    <col min="9" max="9" width="7.421875" style="38" customWidth="1"/>
    <col min="10" max="10" width="9.140625" style="30" customWidth="1"/>
    <col min="11" max="11" width="12.421875" style="30" hidden="1" customWidth="1"/>
    <col min="12" max="13" width="9.140625" style="30" hidden="1" customWidth="1"/>
    <col min="14" max="14" width="10.28125" style="30" hidden="1" customWidth="1"/>
    <col min="15" max="16384" width="9.140625" style="30" customWidth="1"/>
  </cols>
  <sheetData>
    <row r="1" ht="23.25">
      <c r="A1" s="34" t="s">
        <v>62</v>
      </c>
    </row>
    <row r="2" ht="12.75" customHeight="1">
      <c r="A2" s="81"/>
    </row>
    <row r="3" ht="12.75"/>
    <row r="4" spans="2:10" ht="19.5">
      <c r="B4" s="35" t="s">
        <v>33</v>
      </c>
      <c r="C4" s="249"/>
      <c r="D4" s="249"/>
      <c r="E4" s="249"/>
      <c r="F4" s="249"/>
      <c r="G4" s="249"/>
      <c r="H4" s="249"/>
      <c r="I4" s="249"/>
      <c r="J4" s="249"/>
    </row>
    <row r="5" ht="12.75"/>
    <row r="6" ht="13.5" thickBot="1">
      <c r="M6" s="51"/>
    </row>
    <row r="7" spans="2:4" ht="24" customHeight="1" thickTop="1">
      <c r="B7" s="52" t="s">
        <v>64</v>
      </c>
      <c r="C7" s="165">
        <v>225</v>
      </c>
      <c r="D7" s="53" t="s">
        <v>8</v>
      </c>
    </row>
    <row r="8" spans="2:4" ht="24" customHeight="1" thickBot="1">
      <c r="B8" s="54" t="s">
        <v>65</v>
      </c>
      <c r="C8" s="166">
        <v>3600</v>
      </c>
      <c r="D8" s="55" t="s">
        <v>8</v>
      </c>
    </row>
    <row r="9" spans="2:4" ht="22.5" customHeight="1" thickTop="1">
      <c r="B9" s="50"/>
      <c r="C9" s="40"/>
      <c r="D9" s="50"/>
    </row>
    <row r="10" spans="2:4" ht="22.5" customHeight="1">
      <c r="B10" s="50"/>
      <c r="C10" s="40"/>
      <c r="D10" s="50"/>
    </row>
    <row r="11" spans="2:4" ht="22.5" customHeight="1">
      <c r="B11" s="50"/>
      <c r="C11" s="40"/>
      <c r="D11" s="50"/>
    </row>
    <row r="12" spans="2:4" ht="22.5" customHeight="1">
      <c r="B12" s="50"/>
      <c r="C12" s="40"/>
      <c r="D12" s="50"/>
    </row>
    <row r="13" spans="2:4" ht="22.5" customHeight="1">
      <c r="B13" s="50"/>
      <c r="C13" s="40"/>
      <c r="D13" s="50"/>
    </row>
    <row r="14" spans="2:12" ht="15">
      <c r="B14" s="50"/>
      <c r="C14" s="40"/>
      <c r="D14" s="50"/>
      <c r="K14" s="30">
        <f>14000*C7^0.5</f>
        <v>210000</v>
      </c>
      <c r="L14" s="30">
        <f>0.75*C7^(2/3)</f>
        <v>27.74488583621779</v>
      </c>
    </row>
    <row r="15" spans="1:7" s="38" customFormat="1" ht="12.75">
      <c r="A15" s="2"/>
      <c r="B15" s="2"/>
      <c r="C15" s="2"/>
      <c r="D15" s="2" t="s">
        <v>6</v>
      </c>
      <c r="E15" s="2" t="s">
        <v>7</v>
      </c>
      <c r="F15" s="2" t="s">
        <v>93</v>
      </c>
      <c r="G15" s="2" t="s">
        <v>94</v>
      </c>
    </row>
    <row r="16" spans="1:12" s="38" customFormat="1" ht="13.5" thickBot="1">
      <c r="A16" s="1" t="s">
        <v>10</v>
      </c>
      <c r="B16" s="4" t="s">
        <v>68</v>
      </c>
      <c r="C16" s="1"/>
      <c r="D16" s="1" t="s">
        <v>3</v>
      </c>
      <c r="E16" s="1" t="s">
        <v>4</v>
      </c>
      <c r="F16" s="1" t="s">
        <v>23</v>
      </c>
      <c r="G16" s="1" t="s">
        <v>66</v>
      </c>
      <c r="K16" s="38">
        <f>D17*F17^3/12</f>
        <v>714583.3333333334</v>
      </c>
      <c r="L16" s="38">
        <f>L14*K16*2/F17</f>
        <v>566458.0858227799</v>
      </c>
    </row>
    <row r="17" spans="1:10" s="38" customFormat="1" ht="14.25">
      <c r="A17" s="184">
        <v>1</v>
      </c>
      <c r="B17" s="170"/>
      <c r="C17" s="170"/>
      <c r="D17" s="170">
        <v>25</v>
      </c>
      <c r="E17" s="170">
        <v>65</v>
      </c>
      <c r="F17" s="170">
        <v>70</v>
      </c>
      <c r="G17" s="170">
        <v>2.4</v>
      </c>
      <c r="J17" s="89"/>
    </row>
    <row r="18" s="38" customFormat="1" ht="12.75">
      <c r="K18" s="38">
        <f>F17-E17</f>
        <v>5</v>
      </c>
    </row>
    <row r="19" spans="11:13" s="38" customFormat="1" ht="12.75">
      <c r="K19" s="38">
        <f>D17/2</f>
        <v>12.5</v>
      </c>
      <c r="L19" s="38">
        <f>14*G24+15*G21</f>
        <v>368.793</v>
      </c>
      <c r="M19" s="38">
        <f>-14*G24*K18-15*G21*E17</f>
        <v>-13289.265</v>
      </c>
    </row>
    <row r="20" spans="2:11" s="38" customFormat="1" ht="15.75" customHeight="1" thickBot="1">
      <c r="B20" s="4" t="s">
        <v>69</v>
      </c>
      <c r="C20" s="1"/>
      <c r="D20" s="1" t="s">
        <v>30</v>
      </c>
      <c r="E20" s="5" t="s">
        <v>5</v>
      </c>
      <c r="F20" s="1"/>
      <c r="G20" s="21" t="s">
        <v>67</v>
      </c>
      <c r="H20" s="90"/>
      <c r="K20" s="38">
        <f>(-L19+(L19^2-4*K19*M19)^0.5)/2/K19</f>
        <v>21.035909747699133</v>
      </c>
    </row>
    <row r="21" spans="4:8" s="38" customFormat="1" ht="14.25">
      <c r="D21" s="209">
        <v>5</v>
      </c>
      <c r="E21" s="170">
        <v>18</v>
      </c>
      <c r="G21" s="135">
        <f>3.14*E21^2/400*D21</f>
        <v>12.717</v>
      </c>
      <c r="H21" s="136" t="s">
        <v>161</v>
      </c>
    </row>
    <row r="22" spans="7:11" s="38" customFormat="1" ht="12.75">
      <c r="G22" s="90"/>
      <c r="H22" s="136"/>
      <c r="K22" s="38">
        <f>D17*K20^3/3+14*G24*(K20-K18)^2+15*G21*(E17-K20)^2</f>
        <v>492053.25467324024</v>
      </c>
    </row>
    <row r="23" spans="2:8" s="38" customFormat="1" ht="15.75" customHeight="1" thickBot="1">
      <c r="B23" s="4" t="s">
        <v>70</v>
      </c>
      <c r="C23" s="1"/>
      <c r="D23" s="1" t="s">
        <v>30</v>
      </c>
      <c r="E23" s="5" t="s">
        <v>5</v>
      </c>
      <c r="F23" s="1"/>
      <c r="G23" s="21" t="s">
        <v>67</v>
      </c>
      <c r="H23" s="136"/>
    </row>
    <row r="24" spans="4:13" s="38" customFormat="1" ht="14.25">
      <c r="D24" s="209">
        <v>5</v>
      </c>
      <c r="E24" s="170">
        <v>18</v>
      </c>
      <c r="G24" s="135">
        <f>3.14*E24^2/400*D24</f>
        <v>12.717</v>
      </c>
      <c r="H24" s="136" t="s">
        <v>161</v>
      </c>
      <c r="K24" s="38">
        <f>2-1.2*(G24/G21)</f>
        <v>0.8</v>
      </c>
      <c r="L24" s="38">
        <v>0.6</v>
      </c>
      <c r="M24" s="38">
        <f>MAX(K24:L24)</f>
        <v>0.8</v>
      </c>
    </row>
    <row r="25" s="38" customFormat="1" ht="12.75"/>
    <row r="26" s="38" customFormat="1" ht="12.75"/>
    <row r="27" spans="2:13" s="38" customFormat="1" ht="15" thickBot="1">
      <c r="B27" s="4" t="s">
        <v>75</v>
      </c>
      <c r="C27" s="1"/>
      <c r="D27" s="1" t="s">
        <v>71</v>
      </c>
      <c r="E27" s="1" t="s">
        <v>72</v>
      </c>
      <c r="F27" s="1" t="s">
        <v>73</v>
      </c>
      <c r="G27" s="1" t="s">
        <v>74</v>
      </c>
      <c r="K27" s="38">
        <f>(F28*G17^2/2+D28*G17)*10^5</f>
        <v>719999.9999999999</v>
      </c>
      <c r="L27" s="38">
        <f>(G28*G17^2/2+E28*G17)*10^5</f>
        <v>432000</v>
      </c>
      <c r="M27" s="38">
        <f>K27+L27</f>
        <v>1152000</v>
      </c>
    </row>
    <row r="28" spans="4:11" s="38" customFormat="1" ht="12.75">
      <c r="D28" s="210"/>
      <c r="E28" s="210"/>
      <c r="F28" s="210">
        <v>2.5</v>
      </c>
      <c r="G28" s="203">
        <v>1.5</v>
      </c>
      <c r="K28" s="38">
        <f>(L16/M27)^3*K16+(1-(L16/M27)^3)*K22</f>
        <v>518509.8908771973</v>
      </c>
    </row>
    <row r="29" spans="2:8" ht="12.75">
      <c r="B29" s="38"/>
      <c r="C29" s="38"/>
      <c r="D29" s="38"/>
      <c r="E29" s="38"/>
      <c r="F29" s="38"/>
      <c r="G29" s="38"/>
      <c r="H29" s="38"/>
    </row>
    <row r="30" spans="2:8" ht="12.75">
      <c r="B30" s="38"/>
      <c r="C30" s="38"/>
      <c r="D30" s="38"/>
      <c r="E30" s="38"/>
      <c r="F30" s="38"/>
      <c r="G30" s="38"/>
      <c r="H30" s="38"/>
    </row>
    <row r="31" spans="2:12" ht="13.5" thickBot="1">
      <c r="B31" s="20" t="s">
        <v>76</v>
      </c>
      <c r="C31" s="90"/>
      <c r="D31" s="138">
        <f>K31+L31</f>
        <v>0.15234865738172493</v>
      </c>
      <c r="E31" s="139" t="s">
        <v>78</v>
      </c>
      <c r="F31" s="38"/>
      <c r="G31" s="38"/>
      <c r="H31" s="38"/>
      <c r="K31" s="30">
        <f>F28*10*(G17*100)^4/8/K14/K28+D28*1000*(G17*100)^3/3/K14/K28</f>
        <v>0.09521791086357809</v>
      </c>
      <c r="L31" s="30">
        <f>G28*10*(G17*100)^4/8/K14/K28+E28*1000*(G17*100)^3/3/K14/K28</f>
        <v>0.05713074651814685</v>
      </c>
    </row>
    <row r="32" spans="2:8" ht="12.75">
      <c r="B32" s="90"/>
      <c r="C32" s="90"/>
      <c r="D32" s="92"/>
      <c r="E32" s="139"/>
      <c r="F32" s="38"/>
      <c r="G32" s="38"/>
      <c r="H32" s="38"/>
    </row>
    <row r="33" spans="2:10" ht="13.5" thickBot="1">
      <c r="B33" s="20" t="s">
        <v>95</v>
      </c>
      <c r="C33" s="90"/>
      <c r="D33" s="138">
        <f>D31+K31*M24</f>
        <v>0.22852298607258742</v>
      </c>
      <c r="E33" s="139" t="s">
        <v>78</v>
      </c>
      <c r="F33" s="38"/>
      <c r="G33" s="38"/>
      <c r="H33" s="38"/>
      <c r="J33" s="96"/>
    </row>
    <row r="34" spans="2:8" ht="12.75">
      <c r="B34" s="90"/>
      <c r="C34" s="90"/>
      <c r="D34" s="92"/>
      <c r="E34" s="90"/>
      <c r="F34" s="38"/>
      <c r="G34" s="38"/>
      <c r="H34" s="38"/>
    </row>
    <row r="35" spans="2:11" ht="13.5" thickBot="1">
      <c r="B35" s="20" t="s">
        <v>77</v>
      </c>
      <c r="C35" s="90"/>
      <c r="D35" s="138">
        <f>G17*100/450</f>
        <v>0.5333333333333333</v>
      </c>
      <c r="E35" s="139" t="s">
        <v>78</v>
      </c>
      <c r="F35" s="100"/>
      <c r="H35" s="38"/>
      <c r="K35" s="30" t="b">
        <f>D33&gt;D35</f>
        <v>0</v>
      </c>
    </row>
    <row r="36" spans="2:8" ht="12.75">
      <c r="B36" s="90"/>
      <c r="C36" s="90"/>
      <c r="D36" s="90"/>
      <c r="E36" s="38"/>
      <c r="F36" s="38"/>
      <c r="G36" s="38"/>
      <c r="H36" s="38"/>
    </row>
    <row r="37" spans="2:4" ht="13.5" thickBot="1">
      <c r="B37" s="20" t="s">
        <v>96</v>
      </c>
      <c r="C37" s="97"/>
      <c r="D37" s="92" t="str">
        <f>IF(K35,"Unsafe","Safe")</f>
        <v>Safe</v>
      </c>
    </row>
    <row r="38" spans="4:7" ht="12.75">
      <c r="D38" s="101"/>
      <c r="E38" s="101"/>
      <c r="F38" s="102"/>
      <c r="G38" s="38"/>
    </row>
  </sheetData>
  <sheetProtection sheet="1" objects="1" scenarios="1"/>
  <mergeCells count="1">
    <mergeCell ref="C4:J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&amp;R&amp;"Arial,Bold Italic"&amp;9Concrete design according to the Egyptian code1995.</oddHeader>
    <oddFooter>&amp;L&amp;"Arial,Bold Italic"&amp;9By: Eng. Mahmoud El-Kateb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C4" sqref="C4:J4"/>
    </sheetView>
  </sheetViews>
  <sheetFormatPr defaultColWidth="9.140625" defaultRowHeight="12.75"/>
  <cols>
    <col min="1" max="1" width="4.57421875" style="30" customWidth="1"/>
    <col min="2" max="2" width="16.7109375" style="30" customWidth="1"/>
    <col min="3" max="3" width="7.7109375" style="30" customWidth="1"/>
    <col min="4" max="4" width="8.00390625" style="30" customWidth="1"/>
    <col min="5" max="5" width="7.7109375" style="30" customWidth="1"/>
    <col min="6" max="6" width="9.28125" style="30" customWidth="1"/>
    <col min="7" max="7" width="9.140625" style="30" customWidth="1"/>
    <col min="8" max="8" width="6.7109375" style="30" customWidth="1"/>
    <col min="9" max="9" width="7.421875" style="38" customWidth="1"/>
    <col min="10" max="10" width="9.140625" style="30" customWidth="1"/>
    <col min="11" max="11" width="12.421875" style="30" hidden="1" customWidth="1"/>
    <col min="12" max="13" width="9.140625" style="30" hidden="1" customWidth="1"/>
    <col min="14" max="14" width="10.28125" style="30" customWidth="1"/>
    <col min="15" max="16384" width="9.140625" style="30" customWidth="1"/>
  </cols>
  <sheetData>
    <row r="1" ht="22.5">
      <c r="A1" s="34" t="s">
        <v>79</v>
      </c>
    </row>
    <row r="2" ht="12.75" customHeight="1">
      <c r="A2" s="81"/>
    </row>
    <row r="4" spans="2:10" ht="18.75">
      <c r="B4" s="35" t="s">
        <v>33</v>
      </c>
      <c r="C4" s="249"/>
      <c r="D4" s="249"/>
      <c r="E4" s="249"/>
      <c r="F4" s="249"/>
      <c r="G4" s="249"/>
      <c r="H4" s="249"/>
      <c r="I4" s="249"/>
      <c r="J4" s="249"/>
    </row>
    <row r="6" ht="13.5" thickBot="1">
      <c r="M6" s="51"/>
    </row>
    <row r="7" spans="2:4" ht="24" customHeight="1" thickTop="1">
      <c r="B7" s="52" t="s">
        <v>64</v>
      </c>
      <c r="C7" s="165">
        <v>225</v>
      </c>
      <c r="D7" s="53" t="s">
        <v>8</v>
      </c>
    </row>
    <row r="8" spans="2:4" ht="24" customHeight="1" thickBot="1">
      <c r="B8" s="54" t="s">
        <v>65</v>
      </c>
      <c r="C8" s="166">
        <v>3600</v>
      </c>
      <c r="D8" s="55" t="s">
        <v>8</v>
      </c>
    </row>
    <row r="9" spans="2:4" ht="22.5" customHeight="1" thickTop="1">
      <c r="B9" s="50"/>
      <c r="C9" s="40"/>
      <c r="D9" s="50"/>
    </row>
    <row r="10" spans="2:4" ht="22.5" customHeight="1">
      <c r="B10" s="50"/>
      <c r="C10" s="40"/>
      <c r="D10" s="50"/>
    </row>
    <row r="11" spans="2:4" ht="22.5" customHeight="1">
      <c r="B11" s="50"/>
      <c r="C11" s="40"/>
      <c r="D11" s="50"/>
    </row>
    <row r="12" spans="2:4" ht="22.5" customHeight="1">
      <c r="B12" s="50"/>
      <c r="C12" s="40"/>
      <c r="D12" s="50"/>
    </row>
    <row r="13" spans="2:4" ht="22.5" customHeight="1">
      <c r="B13" s="50"/>
      <c r="C13" s="40"/>
      <c r="D13" s="50"/>
    </row>
    <row r="14" spans="2:12" ht="15">
      <c r="B14" s="50"/>
      <c r="C14" s="40"/>
      <c r="D14" s="50"/>
      <c r="K14" s="30">
        <f>14000*C7^0.5</f>
        <v>210000</v>
      </c>
      <c r="L14" s="30">
        <f>0.75*C7^(2/3)</f>
        <v>27.74488583621779</v>
      </c>
    </row>
    <row r="15" spans="1:7" s="38" customFormat="1" ht="12.75">
      <c r="A15" s="2"/>
      <c r="B15" s="2"/>
      <c r="C15" s="2"/>
      <c r="D15" s="2" t="s">
        <v>6</v>
      </c>
      <c r="E15" s="2" t="s">
        <v>7</v>
      </c>
      <c r="F15" s="2" t="s">
        <v>93</v>
      </c>
      <c r="G15" s="2" t="s">
        <v>94</v>
      </c>
    </row>
    <row r="16" spans="1:12" s="38" customFormat="1" ht="13.5" thickBot="1">
      <c r="A16" s="1" t="s">
        <v>10</v>
      </c>
      <c r="B16" s="4" t="s">
        <v>68</v>
      </c>
      <c r="C16" s="1"/>
      <c r="D16" s="1" t="s">
        <v>3</v>
      </c>
      <c r="E16" s="1" t="s">
        <v>4</v>
      </c>
      <c r="F16" s="1" t="s">
        <v>23</v>
      </c>
      <c r="G16" s="1" t="s">
        <v>66</v>
      </c>
      <c r="K16" s="38">
        <f>D17*F17^3/12</f>
        <v>714583.3333333334</v>
      </c>
      <c r="L16" s="38">
        <f>L14*K16*2/F17</f>
        <v>566458.0858227799</v>
      </c>
    </row>
    <row r="17" spans="1:7" s="38" customFormat="1" ht="12.75">
      <c r="A17" s="184">
        <v>1</v>
      </c>
      <c r="B17" s="170"/>
      <c r="C17" s="170"/>
      <c r="D17" s="170">
        <v>25</v>
      </c>
      <c r="E17" s="170">
        <v>65</v>
      </c>
      <c r="F17" s="170">
        <v>70</v>
      </c>
      <c r="G17" s="170">
        <v>6</v>
      </c>
    </row>
    <row r="18" s="38" customFormat="1" ht="12.75">
      <c r="K18" s="38">
        <f>F17-E17</f>
        <v>5</v>
      </c>
    </row>
    <row r="19" spans="11:13" s="38" customFormat="1" ht="12.75">
      <c r="K19" s="38">
        <f>D17/2</f>
        <v>12.5</v>
      </c>
      <c r="L19" s="38">
        <f>14*G21+15*G24</f>
        <v>214.02240000000003</v>
      </c>
      <c r="M19" s="38">
        <f>-14*G21*K18-15*G24*E17</f>
        <v>-10113.312000000002</v>
      </c>
    </row>
    <row r="20" spans="2:11" s="38" customFormat="1" ht="15.75" customHeight="1" thickBot="1">
      <c r="B20" s="4" t="s">
        <v>69</v>
      </c>
      <c r="C20" s="1"/>
      <c r="D20" s="1" t="s">
        <v>30</v>
      </c>
      <c r="E20" s="5" t="s">
        <v>5</v>
      </c>
      <c r="F20" s="1"/>
      <c r="G20" s="21" t="s">
        <v>67</v>
      </c>
      <c r="H20" s="90"/>
      <c r="K20" s="38">
        <f>(-L19+(L19^2-4*K19*M19)^0.5)/2/K19</f>
        <v>21.143546434134596</v>
      </c>
    </row>
    <row r="21" spans="4:8" s="38" customFormat="1" ht="14.25">
      <c r="D21" s="209">
        <v>4</v>
      </c>
      <c r="E21" s="170">
        <v>12</v>
      </c>
      <c r="G21" s="135">
        <f>3.14*E21^2/400*D21</f>
        <v>4.5216</v>
      </c>
      <c r="H21" s="136" t="s">
        <v>161</v>
      </c>
    </row>
    <row r="22" spans="7:11" s="38" customFormat="1" ht="12.75">
      <c r="G22" s="90"/>
      <c r="H22" s="136"/>
      <c r="K22" s="38">
        <f>D17*K20^3/3+14*G21*(K20-K18)^2+15*G24*(E17-K20)^2</f>
        <v>385159.0571181143</v>
      </c>
    </row>
    <row r="23" spans="2:8" s="38" customFormat="1" ht="15.75" customHeight="1" thickBot="1">
      <c r="B23" s="4" t="s">
        <v>70</v>
      </c>
      <c r="C23" s="1"/>
      <c r="D23" s="1" t="s">
        <v>30</v>
      </c>
      <c r="E23" s="5" t="s">
        <v>5</v>
      </c>
      <c r="F23" s="1"/>
      <c r="G23" s="21" t="s">
        <v>67</v>
      </c>
      <c r="H23" s="136"/>
    </row>
    <row r="24" spans="4:13" s="38" customFormat="1" ht="14.25">
      <c r="D24" s="209">
        <v>5</v>
      </c>
      <c r="E24" s="170">
        <v>16</v>
      </c>
      <c r="G24" s="135">
        <f>3.14*E24^2/400*D24</f>
        <v>10.048000000000002</v>
      </c>
      <c r="H24" s="136" t="s">
        <v>161</v>
      </c>
      <c r="K24" s="38">
        <f>2-1.2*(G21/G24)</f>
        <v>1.46</v>
      </c>
      <c r="L24" s="38">
        <v>0.6</v>
      </c>
      <c r="M24" s="38">
        <f>MAX(K24:L24)</f>
        <v>1.46</v>
      </c>
    </row>
    <row r="25" s="38" customFormat="1" ht="12.75"/>
    <row r="26" s="38" customFormat="1" ht="12.75"/>
    <row r="27" spans="2:13" s="38" customFormat="1" ht="15" thickBot="1">
      <c r="B27" s="4" t="s">
        <v>75</v>
      </c>
      <c r="C27" s="1"/>
      <c r="D27" s="1" t="s">
        <v>71</v>
      </c>
      <c r="E27" s="1" t="s">
        <v>72</v>
      </c>
      <c r="F27" s="1" t="s">
        <v>73</v>
      </c>
      <c r="G27" s="1" t="s">
        <v>74</v>
      </c>
      <c r="K27" s="38">
        <f>(F28*G17^2/8+D28*G17/4)*10^5</f>
        <v>1125000</v>
      </c>
      <c r="L27" s="38">
        <f>(G28*G17^2/8+E28*G17/4)*10^5</f>
        <v>825000</v>
      </c>
      <c r="M27" s="38">
        <f>K27+L27</f>
        <v>1950000</v>
      </c>
    </row>
    <row r="28" spans="4:11" s="38" customFormat="1" ht="12.75">
      <c r="D28" s="210">
        <v>1.5</v>
      </c>
      <c r="E28" s="210">
        <v>1</v>
      </c>
      <c r="F28" s="210">
        <v>2</v>
      </c>
      <c r="G28" s="203">
        <v>1.5</v>
      </c>
      <c r="K28" s="38">
        <f>(L16/M27)^3*K16+(1-(L16/M27)^3)*K22</f>
        <v>393234.29096425406</v>
      </c>
    </row>
    <row r="29" spans="2:8" ht="12.75">
      <c r="B29" s="38"/>
      <c r="C29" s="38"/>
      <c r="D29" s="38"/>
      <c r="E29" s="38"/>
      <c r="F29" s="38"/>
      <c r="G29" s="38"/>
      <c r="H29" s="38"/>
    </row>
    <row r="30" spans="2:8" ht="12.75">
      <c r="B30" s="38"/>
      <c r="C30" s="38"/>
      <c r="D30" s="38"/>
      <c r="E30" s="38"/>
      <c r="F30" s="38"/>
      <c r="G30" s="38"/>
      <c r="H30" s="38"/>
    </row>
    <row r="31" spans="2:12" ht="13.5" thickBot="1">
      <c r="B31" s="20" t="s">
        <v>76</v>
      </c>
      <c r="C31" s="90"/>
      <c r="D31" s="138">
        <f>K31+L31</f>
        <v>0.8514553187882199</v>
      </c>
      <c r="E31" s="139" t="s">
        <v>78</v>
      </c>
      <c r="F31" s="38"/>
      <c r="G31" s="38"/>
      <c r="H31" s="38"/>
      <c r="J31" s="95"/>
      <c r="K31" s="30">
        <f>F28*50*(G17*100)^4/384/K14/K28+D28*1000*(G17*100)^3/48/K14/K28</f>
        <v>0.4904382636220147</v>
      </c>
      <c r="L31" s="30">
        <f>G28*50*(G17*100)^4/384/K14/K28+E28*1000*(G17*100)^3/48/K14/K28</f>
        <v>0.36101705516620525</v>
      </c>
    </row>
    <row r="32" spans="2:8" ht="12.75">
      <c r="B32" s="90"/>
      <c r="C32" s="90"/>
      <c r="D32" s="92"/>
      <c r="E32" s="139"/>
      <c r="F32" s="38"/>
      <c r="G32" s="38"/>
      <c r="H32" s="38"/>
    </row>
    <row r="33" spans="2:8" ht="13.5" thickBot="1">
      <c r="B33" s="20" t="s">
        <v>95</v>
      </c>
      <c r="C33" s="90"/>
      <c r="D33" s="138">
        <f>D31+K31*M24</f>
        <v>1.5674951836763613</v>
      </c>
      <c r="E33" s="139" t="s">
        <v>78</v>
      </c>
      <c r="F33" s="38"/>
      <c r="G33" s="38"/>
      <c r="H33" s="38"/>
    </row>
    <row r="34" spans="2:8" ht="12.75">
      <c r="B34" s="90"/>
      <c r="C34" s="90"/>
      <c r="D34" s="92"/>
      <c r="E34" s="90"/>
      <c r="F34" s="38"/>
      <c r="G34" s="38"/>
      <c r="H34" s="38"/>
    </row>
    <row r="35" spans="2:11" ht="13.5" thickBot="1">
      <c r="B35" s="20" t="s">
        <v>77</v>
      </c>
      <c r="C35" s="90"/>
      <c r="D35" s="138">
        <f>G17*100/250</f>
        <v>2.4</v>
      </c>
      <c r="E35" s="139" t="s">
        <v>78</v>
      </c>
      <c r="F35" s="100"/>
      <c r="H35" s="38"/>
      <c r="K35" s="30" t="b">
        <f>D33&gt;D35</f>
        <v>0</v>
      </c>
    </row>
    <row r="36" spans="2:8" ht="12.75">
      <c r="B36" s="90"/>
      <c r="C36" s="90"/>
      <c r="D36" s="90"/>
      <c r="E36" s="38"/>
      <c r="F36" s="38"/>
      <c r="G36" s="38"/>
      <c r="H36" s="38"/>
    </row>
    <row r="37" spans="2:4" ht="13.5" thickBot="1">
      <c r="B37" s="20" t="s">
        <v>96</v>
      </c>
      <c r="C37" s="97"/>
      <c r="D37" s="92" t="str">
        <f>IF(K35,"Unsafe","Safe")</f>
        <v>Safe</v>
      </c>
    </row>
    <row r="38" spans="4:7" ht="12.75">
      <c r="D38" s="101"/>
      <c r="E38" s="101"/>
      <c r="F38" s="102"/>
      <c r="G38" s="38"/>
    </row>
  </sheetData>
  <sheetProtection/>
  <mergeCells count="1">
    <mergeCell ref="C4:J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&amp;R&amp;"Arial,Bold Italic"&amp;9Concrete design according to the Egyptian code 1995.</oddHeader>
    <oddFooter>&amp;L&amp;"Arial,Bold Italic"&amp;9By: Eng. Mahmoud El-Kateb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C4" sqref="C4:K4"/>
    </sheetView>
  </sheetViews>
  <sheetFormatPr defaultColWidth="9.140625" defaultRowHeight="12.75"/>
  <cols>
    <col min="1" max="1" width="5.57421875" style="30" customWidth="1"/>
    <col min="2" max="2" width="13.140625" style="30" customWidth="1"/>
    <col min="3" max="3" width="8.7109375" style="30" customWidth="1"/>
    <col min="4" max="4" width="9.140625" style="30" customWidth="1"/>
    <col min="5" max="5" width="8.28125" style="30" customWidth="1"/>
    <col min="6" max="7" width="8.00390625" style="30" customWidth="1"/>
    <col min="8" max="8" width="6.421875" style="30" customWidth="1"/>
    <col min="9" max="9" width="6.28125" style="30" customWidth="1"/>
    <col min="10" max="10" width="6.57421875" style="30" customWidth="1"/>
    <col min="11" max="11" width="6.7109375" style="30" customWidth="1"/>
    <col min="12" max="12" width="10.28125" style="30" hidden="1" customWidth="1"/>
    <col min="13" max="13" width="0" style="30" hidden="1" customWidth="1"/>
    <col min="14" max="16384" width="9.140625" style="30" customWidth="1"/>
  </cols>
  <sheetData>
    <row r="1" ht="22.5">
      <c r="A1" s="34" t="s">
        <v>98</v>
      </c>
    </row>
    <row r="4" spans="2:11" ht="18.75">
      <c r="B4" s="35" t="s">
        <v>33</v>
      </c>
      <c r="C4" s="249"/>
      <c r="D4" s="249"/>
      <c r="E4" s="249"/>
      <c r="F4" s="249"/>
      <c r="G4" s="249"/>
      <c r="H4" s="249"/>
      <c r="I4" s="249"/>
      <c r="J4" s="249"/>
      <c r="K4" s="249"/>
    </row>
    <row r="5" ht="15.75">
      <c r="B5" s="36"/>
    </row>
    <row r="6" ht="15.75">
      <c r="B6" s="36"/>
    </row>
    <row r="7" ht="13.5" thickBot="1">
      <c r="B7" s="11" t="s">
        <v>167</v>
      </c>
    </row>
    <row r="8" ht="16.5" thickBot="1">
      <c r="B8" s="36"/>
    </row>
    <row r="9" spans="1:11" ht="12.75">
      <c r="A9" s="247" t="s">
        <v>99</v>
      </c>
      <c r="B9" s="6" t="s">
        <v>168</v>
      </c>
      <c r="C9" s="6" t="s">
        <v>169</v>
      </c>
      <c r="D9" s="7" t="s">
        <v>170</v>
      </c>
      <c r="E9" s="7" t="s">
        <v>171</v>
      </c>
      <c r="F9" s="7" t="s">
        <v>172</v>
      </c>
      <c r="G9" s="7" t="s">
        <v>173</v>
      </c>
      <c r="H9" s="250" t="s">
        <v>174</v>
      </c>
      <c r="I9" s="252"/>
      <c r="J9" s="250" t="s">
        <v>175</v>
      </c>
      <c r="K9" s="251"/>
    </row>
    <row r="10" spans="1:11" ht="15.75" thickBot="1">
      <c r="A10" s="248"/>
      <c r="B10" s="8" t="s">
        <v>3</v>
      </c>
      <c r="C10" s="8" t="s">
        <v>176</v>
      </c>
      <c r="D10" s="8" t="s">
        <v>23</v>
      </c>
      <c r="E10" s="8" t="s">
        <v>177</v>
      </c>
      <c r="F10" s="8" t="s">
        <v>178</v>
      </c>
      <c r="G10" s="8" t="s">
        <v>178</v>
      </c>
      <c r="H10" s="253" t="s">
        <v>182</v>
      </c>
      <c r="I10" s="254"/>
      <c r="J10" s="253" t="s">
        <v>183</v>
      </c>
      <c r="K10" s="255"/>
    </row>
    <row r="11" spans="1:13" ht="12.75">
      <c r="A11" s="155">
        <v>1</v>
      </c>
      <c r="B11" s="156">
        <v>12</v>
      </c>
      <c r="C11" s="156">
        <v>40</v>
      </c>
      <c r="D11" s="156">
        <v>32</v>
      </c>
      <c r="E11" s="156">
        <v>7</v>
      </c>
      <c r="F11" s="156">
        <v>150</v>
      </c>
      <c r="G11" s="156">
        <v>200</v>
      </c>
      <c r="H11" s="256">
        <f>((E11/100*2.5+2*B11*L11*2.5/10000+10*(L11-5)/1000)*100/M11+F11/1000)*1.4+G11/1000*1.6</f>
        <v>1.2367307692307692</v>
      </c>
      <c r="I11" s="256"/>
      <c r="J11" s="256">
        <f>((E11/100*2.5+4*B11*L11*2.5/10000+8*(L11-5)/1000)*100/M11+F11/1000)*1.4+G11/1000*1.6</f>
        <v>1.3848076923076924</v>
      </c>
      <c r="K11" s="257"/>
      <c r="L11" s="30">
        <f>D11-E11</f>
        <v>25</v>
      </c>
      <c r="M11" s="30">
        <f>2*C11+2*B11</f>
        <v>104</v>
      </c>
    </row>
    <row r="12" spans="1:13" ht="12.75">
      <c r="A12" s="157">
        <v>2</v>
      </c>
      <c r="B12" s="158">
        <v>12</v>
      </c>
      <c r="C12" s="158">
        <v>40</v>
      </c>
      <c r="D12" s="158">
        <v>27</v>
      </c>
      <c r="E12" s="158">
        <v>7</v>
      </c>
      <c r="F12" s="158">
        <v>150</v>
      </c>
      <c r="G12" s="158">
        <v>200</v>
      </c>
      <c r="H12" s="261">
        <f>((E12/100*2.5+2*B12*L12*2.5/10000+10*(L12-5)/1000)*100/M12+F12/1000)*1.4+G12/1000*1.6</f>
        <v>1.1290384615384617</v>
      </c>
      <c r="I12" s="261"/>
      <c r="J12" s="261">
        <f>((E12/100*2.5+4*B12*L12*2.5/10000+8*(L12-5)/1000)*100/M12+F12/1000)*1.4+G12/1000*1.6</f>
        <v>1.2501923076923076</v>
      </c>
      <c r="K12" s="262"/>
      <c r="L12" s="30">
        <f>D12-E12</f>
        <v>20</v>
      </c>
      <c r="M12" s="30">
        <f>2*C12+2*B12</f>
        <v>104</v>
      </c>
    </row>
    <row r="13" spans="1:13" ht="12.75">
      <c r="A13" s="157">
        <v>3</v>
      </c>
      <c r="B13" s="158">
        <v>12</v>
      </c>
      <c r="C13" s="158">
        <v>40</v>
      </c>
      <c r="D13" s="158">
        <v>30</v>
      </c>
      <c r="E13" s="158">
        <v>5</v>
      </c>
      <c r="F13" s="158">
        <v>150</v>
      </c>
      <c r="G13" s="158">
        <v>200</v>
      </c>
      <c r="H13" s="261">
        <f>((E13/100*2.5+2*B13*L13*2.5/10000+10*(L13-5)/1000)*100/M13+F13/1000)*1.4+G13/1000*1.6</f>
        <v>1.169423076923077</v>
      </c>
      <c r="I13" s="261"/>
      <c r="J13" s="261">
        <f>((E13/100*2.5+4*B13*L13*2.5/10000+8*(L13-5)/1000)*100/M13+F13/1000)*1.4+G13/1000*1.6</f>
        <v>1.3175</v>
      </c>
      <c r="K13" s="262"/>
      <c r="L13" s="30">
        <f>D13-E13</f>
        <v>25</v>
      </c>
      <c r="M13" s="30">
        <f>2*C13+2*B13</f>
        <v>104</v>
      </c>
    </row>
    <row r="14" spans="1:13" ht="12.75">
      <c r="A14" s="157">
        <v>4</v>
      </c>
      <c r="B14" s="158">
        <v>12</v>
      </c>
      <c r="C14" s="158">
        <v>40</v>
      </c>
      <c r="D14" s="158">
        <v>32</v>
      </c>
      <c r="E14" s="158">
        <v>7</v>
      </c>
      <c r="F14" s="158">
        <v>150</v>
      </c>
      <c r="G14" s="158">
        <v>200</v>
      </c>
      <c r="H14" s="261">
        <f>((E14/100*2.5+2*B14*L14*2.5/10000+10*(L14-5)/1000)*100/M14+F14/1000)*1.4+G14/1000*1.6</f>
        <v>1.2367307692307692</v>
      </c>
      <c r="I14" s="261"/>
      <c r="J14" s="261">
        <f>((E14/100*2.5+4*B14*L14*2.5/10000+8*(L14-5)/1000)*100/M14+F14/1000)*1.4+G14/1000*1.6</f>
        <v>1.3848076923076924</v>
      </c>
      <c r="K14" s="262"/>
      <c r="L14" s="30">
        <f>D14-E14</f>
        <v>25</v>
      </c>
      <c r="M14" s="30">
        <f>2*C14+2*B14</f>
        <v>104</v>
      </c>
    </row>
    <row r="15" spans="1:13" ht="13.5" thickBot="1">
      <c r="A15" s="159">
        <v>5</v>
      </c>
      <c r="B15" s="160">
        <v>12</v>
      </c>
      <c r="C15" s="160">
        <v>40</v>
      </c>
      <c r="D15" s="160">
        <v>32</v>
      </c>
      <c r="E15" s="160">
        <v>7</v>
      </c>
      <c r="F15" s="160">
        <v>150</v>
      </c>
      <c r="G15" s="160">
        <v>200</v>
      </c>
      <c r="H15" s="263">
        <f>((E15/100*2.5+2*B15*L15*2.5/10000+10*(L15-5)/1000)*100/M15+F15/1000)*1.4+G15/1000*1.6</f>
        <v>1.2367307692307692</v>
      </c>
      <c r="I15" s="263"/>
      <c r="J15" s="263">
        <f>((E15/100*2.5+4*B15*L15*2.5/10000+8*(L15-5)/1000)*100/M15+F15/1000)*1.4+G15/1000*1.6</f>
        <v>1.3848076923076924</v>
      </c>
      <c r="K15" s="264"/>
      <c r="L15" s="30">
        <f>D15-E15</f>
        <v>25</v>
      </c>
      <c r="M15" s="30">
        <f>2*C15+2*B15</f>
        <v>104</v>
      </c>
    </row>
    <row r="16" spans="1:11" ht="12.75">
      <c r="A16" s="38"/>
      <c r="B16" s="38"/>
      <c r="C16" s="38"/>
      <c r="D16" s="38"/>
      <c r="E16" s="38"/>
      <c r="F16" s="38"/>
      <c r="G16" s="38"/>
      <c r="H16" s="265"/>
      <c r="I16" s="265"/>
      <c r="J16" s="265"/>
      <c r="K16" s="265"/>
    </row>
    <row r="17" spans="1:11" ht="12.75">
      <c r="A17" s="38"/>
      <c r="B17" s="38"/>
      <c r="C17" s="38"/>
      <c r="D17" s="38"/>
      <c r="E17" s="38"/>
      <c r="F17" s="38"/>
      <c r="G17" s="38"/>
      <c r="H17" s="39"/>
      <c r="I17" s="39"/>
      <c r="J17" s="39"/>
      <c r="K17" s="39"/>
    </row>
    <row r="19" spans="2:11" ht="15.75" thickBot="1">
      <c r="B19" s="11" t="s">
        <v>101</v>
      </c>
      <c r="C19" s="40"/>
      <c r="D19" s="41"/>
      <c r="E19" s="41"/>
      <c r="F19" s="41"/>
      <c r="G19" s="41"/>
      <c r="H19" s="41"/>
      <c r="I19" s="41"/>
      <c r="J19" s="41"/>
      <c r="K19" s="41"/>
    </row>
    <row r="20" ht="13.5" thickBot="1"/>
    <row r="21" spans="1:11" ht="15" customHeight="1">
      <c r="A21" s="247" t="s">
        <v>99</v>
      </c>
      <c r="B21" s="266" t="s">
        <v>100</v>
      </c>
      <c r="C21" s="267"/>
      <c r="D21" s="266" t="s">
        <v>107</v>
      </c>
      <c r="E21" s="267"/>
      <c r="F21" s="250" t="s">
        <v>106</v>
      </c>
      <c r="G21" s="252"/>
      <c r="H21" s="250" t="s">
        <v>105</v>
      </c>
      <c r="I21" s="252"/>
      <c r="J21" s="268" t="s">
        <v>110</v>
      </c>
      <c r="K21" s="269"/>
    </row>
    <row r="22" spans="1:11" ht="15" customHeight="1" thickBot="1">
      <c r="A22" s="248"/>
      <c r="B22" s="10" t="s">
        <v>103</v>
      </c>
      <c r="C22" s="10" t="s">
        <v>111</v>
      </c>
      <c r="D22" s="10" t="s">
        <v>103</v>
      </c>
      <c r="E22" s="10" t="s">
        <v>111</v>
      </c>
      <c r="F22" s="12" t="s">
        <v>108</v>
      </c>
      <c r="G22" s="12" t="s">
        <v>109</v>
      </c>
      <c r="H22" s="12" t="s">
        <v>108</v>
      </c>
      <c r="I22" s="12" t="s">
        <v>109</v>
      </c>
      <c r="J22" s="13" t="s">
        <v>108</v>
      </c>
      <c r="K22" s="14" t="s">
        <v>109</v>
      </c>
    </row>
    <row r="23" spans="1:12" ht="15" customHeight="1">
      <c r="A23" s="161">
        <v>1</v>
      </c>
      <c r="B23" s="162">
        <v>5</v>
      </c>
      <c r="C23" s="162">
        <v>1</v>
      </c>
      <c r="D23" s="162">
        <v>4</v>
      </c>
      <c r="E23" s="162">
        <v>1</v>
      </c>
      <c r="F23" s="42">
        <f>0.5*L23-0.15</f>
        <v>0.475</v>
      </c>
      <c r="G23" s="42">
        <f>0.35/L23^2</f>
        <v>0.22399999999999998</v>
      </c>
      <c r="H23" s="42">
        <f>0.8*J23</f>
        <v>0.5675368898978433</v>
      </c>
      <c r="I23" s="42">
        <f>0.8*K23</f>
        <v>0.23246311010215664</v>
      </c>
      <c r="J23" s="43">
        <f>L23^4/(1+L23^4)</f>
        <v>0.7094211123723042</v>
      </c>
      <c r="K23" s="44">
        <f>1/(1+L23^4)</f>
        <v>0.2905788876276958</v>
      </c>
      <c r="L23" s="30">
        <f>B23*C23/D23/E23</f>
        <v>1.25</v>
      </c>
    </row>
    <row r="24" spans="1:12" ht="15" customHeight="1">
      <c r="A24" s="161">
        <v>2</v>
      </c>
      <c r="B24" s="162">
        <v>5</v>
      </c>
      <c r="C24" s="162">
        <v>1</v>
      </c>
      <c r="D24" s="162">
        <v>4</v>
      </c>
      <c r="E24" s="162">
        <v>1</v>
      </c>
      <c r="F24" s="42">
        <f>0.5*L24-0.15</f>
        <v>0.475</v>
      </c>
      <c r="G24" s="42">
        <f>0.35/L24^2</f>
        <v>0.22399999999999998</v>
      </c>
      <c r="H24" s="42">
        <f aca="true" t="shared" si="0" ref="H24:I31">0.8*J24</f>
        <v>0.5675368898978433</v>
      </c>
      <c r="I24" s="42">
        <f t="shared" si="0"/>
        <v>0.23246311010215664</v>
      </c>
      <c r="J24" s="45">
        <f aca="true" t="shared" si="1" ref="J24:J31">L24^4/(1+L24^4)</f>
        <v>0.7094211123723042</v>
      </c>
      <c r="K24" s="44">
        <f>1/(1+L24^4)</f>
        <v>0.2905788876276958</v>
      </c>
      <c r="L24" s="30">
        <f>B24*C24/D24/E24</f>
        <v>1.25</v>
      </c>
    </row>
    <row r="25" spans="1:12" ht="15" customHeight="1">
      <c r="A25" s="161">
        <v>3</v>
      </c>
      <c r="B25" s="162">
        <v>5</v>
      </c>
      <c r="C25" s="162">
        <v>1</v>
      </c>
      <c r="D25" s="162">
        <v>4</v>
      </c>
      <c r="E25" s="162">
        <v>1</v>
      </c>
      <c r="F25" s="42">
        <f aca="true" t="shared" si="2" ref="F25:F31">0.5*L25-0.15</f>
        <v>0.475</v>
      </c>
      <c r="G25" s="42">
        <f aca="true" t="shared" si="3" ref="G25:G31">0.35/L25^2</f>
        <v>0.22399999999999998</v>
      </c>
      <c r="H25" s="42">
        <f t="shared" si="0"/>
        <v>0.5675368898978433</v>
      </c>
      <c r="I25" s="42">
        <f t="shared" si="0"/>
        <v>0.23246311010215664</v>
      </c>
      <c r="J25" s="45">
        <f t="shared" si="1"/>
        <v>0.7094211123723042</v>
      </c>
      <c r="K25" s="44">
        <f aca="true" t="shared" si="4" ref="K25:K32">1/(1+L25^4)</f>
        <v>0.2905788876276958</v>
      </c>
      <c r="L25" s="30">
        <f aca="true" t="shared" si="5" ref="L25:L31">B25*C25/D25/E25</f>
        <v>1.25</v>
      </c>
    </row>
    <row r="26" spans="1:12" ht="15" customHeight="1">
      <c r="A26" s="161">
        <v>4</v>
      </c>
      <c r="B26" s="162">
        <v>5</v>
      </c>
      <c r="C26" s="162">
        <v>1</v>
      </c>
      <c r="D26" s="162">
        <v>4</v>
      </c>
      <c r="E26" s="162">
        <v>1</v>
      </c>
      <c r="F26" s="42">
        <f t="shared" si="2"/>
        <v>0.475</v>
      </c>
      <c r="G26" s="42">
        <f t="shared" si="3"/>
        <v>0.22399999999999998</v>
      </c>
      <c r="H26" s="42">
        <f t="shared" si="0"/>
        <v>0.5675368898978433</v>
      </c>
      <c r="I26" s="42">
        <f t="shared" si="0"/>
        <v>0.23246311010215664</v>
      </c>
      <c r="J26" s="45">
        <f t="shared" si="1"/>
        <v>0.7094211123723042</v>
      </c>
      <c r="K26" s="44">
        <f t="shared" si="4"/>
        <v>0.2905788876276958</v>
      </c>
      <c r="L26" s="30">
        <f t="shared" si="5"/>
        <v>1.25</v>
      </c>
    </row>
    <row r="27" spans="1:12" ht="15" customHeight="1">
      <c r="A27" s="161">
        <v>5</v>
      </c>
      <c r="B27" s="162">
        <v>5</v>
      </c>
      <c r="C27" s="162">
        <v>1</v>
      </c>
      <c r="D27" s="162">
        <v>4</v>
      </c>
      <c r="E27" s="162">
        <v>1</v>
      </c>
      <c r="F27" s="42">
        <f t="shared" si="2"/>
        <v>0.475</v>
      </c>
      <c r="G27" s="42">
        <f t="shared" si="3"/>
        <v>0.22399999999999998</v>
      </c>
      <c r="H27" s="42">
        <f t="shared" si="0"/>
        <v>0.5675368898978433</v>
      </c>
      <c r="I27" s="42">
        <f t="shared" si="0"/>
        <v>0.23246311010215664</v>
      </c>
      <c r="J27" s="45">
        <f t="shared" si="1"/>
        <v>0.7094211123723042</v>
      </c>
      <c r="K27" s="44">
        <f t="shared" si="4"/>
        <v>0.2905788876276958</v>
      </c>
      <c r="L27" s="30">
        <f t="shared" si="5"/>
        <v>1.25</v>
      </c>
    </row>
    <row r="28" spans="1:12" ht="15" customHeight="1">
      <c r="A28" s="161">
        <v>6</v>
      </c>
      <c r="B28" s="162">
        <v>5</v>
      </c>
      <c r="C28" s="162">
        <v>1</v>
      </c>
      <c r="D28" s="162">
        <v>4</v>
      </c>
      <c r="E28" s="162">
        <v>1</v>
      </c>
      <c r="F28" s="42">
        <f t="shared" si="2"/>
        <v>0.475</v>
      </c>
      <c r="G28" s="42">
        <f t="shared" si="3"/>
        <v>0.22399999999999998</v>
      </c>
      <c r="H28" s="42">
        <f t="shared" si="0"/>
        <v>0.5675368898978433</v>
      </c>
      <c r="I28" s="42">
        <f t="shared" si="0"/>
        <v>0.23246311010215664</v>
      </c>
      <c r="J28" s="45">
        <f t="shared" si="1"/>
        <v>0.7094211123723042</v>
      </c>
      <c r="K28" s="44">
        <f t="shared" si="4"/>
        <v>0.2905788876276958</v>
      </c>
      <c r="L28" s="30">
        <f t="shared" si="5"/>
        <v>1.25</v>
      </c>
    </row>
    <row r="29" spans="1:12" ht="15" customHeight="1">
      <c r="A29" s="161">
        <v>7</v>
      </c>
      <c r="B29" s="162">
        <v>5</v>
      </c>
      <c r="C29" s="162">
        <v>1</v>
      </c>
      <c r="D29" s="162">
        <v>4</v>
      </c>
      <c r="E29" s="162">
        <v>1</v>
      </c>
      <c r="F29" s="42">
        <f t="shared" si="2"/>
        <v>0.475</v>
      </c>
      <c r="G29" s="42">
        <f t="shared" si="3"/>
        <v>0.22399999999999998</v>
      </c>
      <c r="H29" s="42">
        <f t="shared" si="0"/>
        <v>0.5675368898978433</v>
      </c>
      <c r="I29" s="42">
        <f t="shared" si="0"/>
        <v>0.23246311010215664</v>
      </c>
      <c r="J29" s="45">
        <f t="shared" si="1"/>
        <v>0.7094211123723042</v>
      </c>
      <c r="K29" s="44">
        <f t="shared" si="4"/>
        <v>0.2905788876276958</v>
      </c>
      <c r="L29" s="30">
        <f t="shared" si="5"/>
        <v>1.25</v>
      </c>
    </row>
    <row r="30" spans="1:12" ht="15" customHeight="1">
      <c r="A30" s="161">
        <v>8</v>
      </c>
      <c r="B30" s="162">
        <v>5</v>
      </c>
      <c r="C30" s="162">
        <v>1</v>
      </c>
      <c r="D30" s="162">
        <v>4</v>
      </c>
      <c r="E30" s="162">
        <v>1</v>
      </c>
      <c r="F30" s="42">
        <f t="shared" si="2"/>
        <v>0.475</v>
      </c>
      <c r="G30" s="42">
        <f t="shared" si="3"/>
        <v>0.22399999999999998</v>
      </c>
      <c r="H30" s="42">
        <f t="shared" si="0"/>
        <v>0.5675368898978433</v>
      </c>
      <c r="I30" s="42">
        <f t="shared" si="0"/>
        <v>0.23246311010215664</v>
      </c>
      <c r="J30" s="45">
        <f t="shared" si="1"/>
        <v>0.7094211123723042</v>
      </c>
      <c r="K30" s="44">
        <f t="shared" si="4"/>
        <v>0.2905788876276958</v>
      </c>
      <c r="L30" s="30">
        <f t="shared" si="5"/>
        <v>1.25</v>
      </c>
    </row>
    <row r="31" spans="1:12" ht="15" customHeight="1">
      <c r="A31" s="161">
        <v>9</v>
      </c>
      <c r="B31" s="162">
        <v>5</v>
      </c>
      <c r="C31" s="162">
        <v>1</v>
      </c>
      <c r="D31" s="162">
        <v>4</v>
      </c>
      <c r="E31" s="162">
        <v>1</v>
      </c>
      <c r="F31" s="42">
        <f t="shared" si="2"/>
        <v>0.475</v>
      </c>
      <c r="G31" s="42">
        <f t="shared" si="3"/>
        <v>0.22399999999999998</v>
      </c>
      <c r="H31" s="42">
        <f t="shared" si="0"/>
        <v>0.5675368898978433</v>
      </c>
      <c r="I31" s="42">
        <f t="shared" si="0"/>
        <v>0.23246311010215664</v>
      </c>
      <c r="J31" s="45">
        <f t="shared" si="1"/>
        <v>0.7094211123723042</v>
      </c>
      <c r="K31" s="44">
        <f t="shared" si="4"/>
        <v>0.2905788876276958</v>
      </c>
      <c r="L31" s="30">
        <f t="shared" si="5"/>
        <v>1.25</v>
      </c>
    </row>
    <row r="32" spans="1:12" ht="15" customHeight="1" thickBot="1">
      <c r="A32" s="163">
        <v>10</v>
      </c>
      <c r="B32" s="160">
        <v>5</v>
      </c>
      <c r="C32" s="164">
        <v>1</v>
      </c>
      <c r="D32" s="164">
        <v>4</v>
      </c>
      <c r="E32" s="164">
        <v>1</v>
      </c>
      <c r="F32" s="47">
        <f>0.5*L32-0.15</f>
        <v>0.475</v>
      </c>
      <c r="G32" s="47">
        <f>0.35/L32^2</f>
        <v>0.22399999999999998</v>
      </c>
      <c r="H32" s="37">
        <f>0.8*J32</f>
        <v>0.5675368898978433</v>
      </c>
      <c r="I32" s="37">
        <f>0.8*K32</f>
        <v>0.23246311010215664</v>
      </c>
      <c r="J32" s="48">
        <f>L32^4/(1+L32^4)</f>
        <v>0.7094211123723042</v>
      </c>
      <c r="K32" s="49">
        <f t="shared" si="4"/>
        <v>0.2905788876276958</v>
      </c>
      <c r="L32" s="30">
        <f>B32*C32/D32/E32</f>
        <v>1.25</v>
      </c>
    </row>
    <row r="36" spans="2:4" ht="15.75" thickBot="1">
      <c r="B36" s="11" t="s">
        <v>112</v>
      </c>
      <c r="C36" s="40"/>
      <c r="D36" s="50"/>
    </row>
    <row r="37" ht="13.5" thickBot="1"/>
    <row r="38" spans="1:11" ht="12.75">
      <c r="A38" s="247" t="s">
        <v>99</v>
      </c>
      <c r="B38" s="6" t="s">
        <v>114</v>
      </c>
      <c r="C38" s="7" t="s">
        <v>102</v>
      </c>
      <c r="D38" s="6" t="s">
        <v>104</v>
      </c>
      <c r="E38" s="270" t="s">
        <v>116</v>
      </c>
      <c r="F38" s="271"/>
      <c r="G38" s="270" t="s">
        <v>121</v>
      </c>
      <c r="H38" s="271"/>
      <c r="I38" s="271"/>
      <c r="J38" s="272"/>
      <c r="K38" s="39"/>
    </row>
    <row r="39" spans="1:11" ht="15" thickBot="1">
      <c r="A39" s="248"/>
      <c r="B39" s="8" t="s">
        <v>115</v>
      </c>
      <c r="C39" s="8" t="s">
        <v>113</v>
      </c>
      <c r="D39" s="8" t="s">
        <v>113</v>
      </c>
      <c r="E39" s="15" t="s">
        <v>117</v>
      </c>
      <c r="F39" s="15" t="s">
        <v>118</v>
      </c>
      <c r="G39" s="273" t="s">
        <v>119</v>
      </c>
      <c r="H39" s="274"/>
      <c r="I39" s="273" t="s">
        <v>120</v>
      </c>
      <c r="J39" s="275"/>
      <c r="K39" s="39"/>
    </row>
    <row r="40" spans="1:12" ht="12.75">
      <c r="A40" s="161">
        <v>1</v>
      </c>
      <c r="B40" s="162">
        <v>0.85</v>
      </c>
      <c r="C40" s="162">
        <v>5</v>
      </c>
      <c r="D40" s="162">
        <v>4</v>
      </c>
      <c r="E40" s="42">
        <f>1-1/2/L40</f>
        <v>0.6</v>
      </c>
      <c r="F40" s="42">
        <f>1-1/3/L40^2</f>
        <v>0.7866666666666666</v>
      </c>
      <c r="G40" s="259">
        <f>E40*B40*D40/2</f>
        <v>1.02</v>
      </c>
      <c r="H40" s="259"/>
      <c r="I40" s="259">
        <f>F40*B40*D40/2</f>
        <v>1.3373333333333333</v>
      </c>
      <c r="J40" s="276"/>
      <c r="K40" s="39"/>
      <c r="L40" s="30">
        <f>C40/D40</f>
        <v>1.25</v>
      </c>
    </row>
    <row r="41" spans="1:12" ht="12.75">
      <c r="A41" s="161">
        <v>2</v>
      </c>
      <c r="B41" s="162">
        <v>0.85</v>
      </c>
      <c r="C41" s="162">
        <v>5</v>
      </c>
      <c r="D41" s="162">
        <v>4</v>
      </c>
      <c r="E41" s="42">
        <f aca="true" t="shared" si="6" ref="E41:E49">1-1/2/L41</f>
        <v>0.6</v>
      </c>
      <c r="F41" s="42">
        <f aca="true" t="shared" si="7" ref="F41:F49">1-1/3/L41^2</f>
        <v>0.7866666666666666</v>
      </c>
      <c r="G41" s="258">
        <f aca="true" t="shared" si="8" ref="G41:G49">E41*B41*D41/2</f>
        <v>1.02</v>
      </c>
      <c r="H41" s="258"/>
      <c r="I41" s="258">
        <f aca="true" t="shared" si="9" ref="I41:I49">F41*B41*D41/2</f>
        <v>1.3373333333333333</v>
      </c>
      <c r="J41" s="260"/>
      <c r="K41" s="39"/>
      <c r="L41" s="30">
        <f aca="true" t="shared" si="10" ref="L41:L49">C41/D41</f>
        <v>1.25</v>
      </c>
    </row>
    <row r="42" spans="1:12" ht="12.75">
      <c r="A42" s="161">
        <v>3</v>
      </c>
      <c r="B42" s="162">
        <v>0.85</v>
      </c>
      <c r="C42" s="162">
        <v>5</v>
      </c>
      <c r="D42" s="162">
        <v>4</v>
      </c>
      <c r="E42" s="42">
        <f t="shared" si="6"/>
        <v>0.6</v>
      </c>
      <c r="F42" s="42">
        <f t="shared" si="7"/>
        <v>0.7866666666666666</v>
      </c>
      <c r="G42" s="258">
        <f t="shared" si="8"/>
        <v>1.02</v>
      </c>
      <c r="H42" s="258"/>
      <c r="I42" s="258">
        <f t="shared" si="9"/>
        <v>1.3373333333333333</v>
      </c>
      <c r="J42" s="260"/>
      <c r="K42" s="39"/>
      <c r="L42" s="30">
        <f t="shared" si="10"/>
        <v>1.25</v>
      </c>
    </row>
    <row r="43" spans="1:12" ht="12.75">
      <c r="A43" s="161">
        <v>4</v>
      </c>
      <c r="B43" s="162">
        <v>0.85</v>
      </c>
      <c r="C43" s="162">
        <v>5</v>
      </c>
      <c r="D43" s="162">
        <v>4</v>
      </c>
      <c r="E43" s="42">
        <f t="shared" si="6"/>
        <v>0.6</v>
      </c>
      <c r="F43" s="42">
        <f t="shared" si="7"/>
        <v>0.7866666666666666</v>
      </c>
      <c r="G43" s="258">
        <f t="shared" si="8"/>
        <v>1.02</v>
      </c>
      <c r="H43" s="258"/>
      <c r="I43" s="258">
        <f t="shared" si="9"/>
        <v>1.3373333333333333</v>
      </c>
      <c r="J43" s="260"/>
      <c r="K43" s="39"/>
      <c r="L43" s="30">
        <f t="shared" si="10"/>
        <v>1.25</v>
      </c>
    </row>
    <row r="44" spans="1:12" ht="12.75">
      <c r="A44" s="161">
        <v>5</v>
      </c>
      <c r="B44" s="162">
        <v>0.85</v>
      </c>
      <c r="C44" s="162">
        <v>5</v>
      </c>
      <c r="D44" s="162">
        <v>4</v>
      </c>
      <c r="E44" s="42">
        <f t="shared" si="6"/>
        <v>0.6</v>
      </c>
      <c r="F44" s="42">
        <f t="shared" si="7"/>
        <v>0.7866666666666666</v>
      </c>
      <c r="G44" s="258">
        <f t="shared" si="8"/>
        <v>1.02</v>
      </c>
      <c r="H44" s="258"/>
      <c r="I44" s="258">
        <f t="shared" si="9"/>
        <v>1.3373333333333333</v>
      </c>
      <c r="J44" s="260"/>
      <c r="K44" s="39"/>
      <c r="L44" s="30">
        <f t="shared" si="10"/>
        <v>1.25</v>
      </c>
    </row>
    <row r="45" spans="1:12" ht="12.75">
      <c r="A45" s="161">
        <v>6</v>
      </c>
      <c r="B45" s="162">
        <v>0.85</v>
      </c>
      <c r="C45" s="162">
        <v>5</v>
      </c>
      <c r="D45" s="162">
        <v>4</v>
      </c>
      <c r="E45" s="42">
        <f t="shared" si="6"/>
        <v>0.6</v>
      </c>
      <c r="F45" s="42">
        <f t="shared" si="7"/>
        <v>0.7866666666666666</v>
      </c>
      <c r="G45" s="258">
        <f t="shared" si="8"/>
        <v>1.02</v>
      </c>
      <c r="H45" s="258"/>
      <c r="I45" s="258">
        <f t="shared" si="9"/>
        <v>1.3373333333333333</v>
      </c>
      <c r="J45" s="260"/>
      <c r="K45" s="39"/>
      <c r="L45" s="30">
        <f t="shared" si="10"/>
        <v>1.25</v>
      </c>
    </row>
    <row r="46" spans="1:12" ht="12.75">
      <c r="A46" s="161">
        <v>7</v>
      </c>
      <c r="B46" s="162">
        <v>0.85</v>
      </c>
      <c r="C46" s="162">
        <v>5</v>
      </c>
      <c r="D46" s="162">
        <v>4</v>
      </c>
      <c r="E46" s="42">
        <f t="shared" si="6"/>
        <v>0.6</v>
      </c>
      <c r="F46" s="42">
        <f t="shared" si="7"/>
        <v>0.7866666666666666</v>
      </c>
      <c r="G46" s="258">
        <f t="shared" si="8"/>
        <v>1.02</v>
      </c>
      <c r="H46" s="258"/>
      <c r="I46" s="258">
        <f t="shared" si="9"/>
        <v>1.3373333333333333</v>
      </c>
      <c r="J46" s="260"/>
      <c r="K46" s="39"/>
      <c r="L46" s="30">
        <f t="shared" si="10"/>
        <v>1.25</v>
      </c>
    </row>
    <row r="47" spans="1:12" ht="12.75">
      <c r="A47" s="161">
        <v>8</v>
      </c>
      <c r="B47" s="162">
        <v>0.85</v>
      </c>
      <c r="C47" s="162">
        <v>5</v>
      </c>
      <c r="D47" s="162">
        <v>4</v>
      </c>
      <c r="E47" s="42">
        <f t="shared" si="6"/>
        <v>0.6</v>
      </c>
      <c r="F47" s="42">
        <f t="shared" si="7"/>
        <v>0.7866666666666666</v>
      </c>
      <c r="G47" s="258">
        <f t="shared" si="8"/>
        <v>1.02</v>
      </c>
      <c r="H47" s="258"/>
      <c r="I47" s="258">
        <f t="shared" si="9"/>
        <v>1.3373333333333333</v>
      </c>
      <c r="J47" s="260"/>
      <c r="K47" s="39"/>
      <c r="L47" s="30">
        <f t="shared" si="10"/>
        <v>1.25</v>
      </c>
    </row>
    <row r="48" spans="1:12" ht="12.75">
      <c r="A48" s="161">
        <v>9</v>
      </c>
      <c r="B48" s="162">
        <v>0.85</v>
      </c>
      <c r="C48" s="162">
        <v>5</v>
      </c>
      <c r="D48" s="162">
        <v>4</v>
      </c>
      <c r="E48" s="42">
        <f t="shared" si="6"/>
        <v>0.6</v>
      </c>
      <c r="F48" s="42">
        <f t="shared" si="7"/>
        <v>0.7866666666666666</v>
      </c>
      <c r="G48" s="258">
        <f t="shared" si="8"/>
        <v>1.02</v>
      </c>
      <c r="H48" s="258"/>
      <c r="I48" s="258">
        <f t="shared" si="9"/>
        <v>1.3373333333333333</v>
      </c>
      <c r="J48" s="260"/>
      <c r="K48" s="39"/>
      <c r="L48" s="30">
        <f t="shared" si="10"/>
        <v>1.25</v>
      </c>
    </row>
    <row r="49" spans="1:12" ht="13.5" thickBot="1">
      <c r="A49" s="163">
        <v>10</v>
      </c>
      <c r="B49" s="160">
        <v>0.85</v>
      </c>
      <c r="C49" s="160">
        <v>5</v>
      </c>
      <c r="D49" s="160">
        <v>4</v>
      </c>
      <c r="E49" s="37">
        <f t="shared" si="6"/>
        <v>0.6</v>
      </c>
      <c r="F49" s="37">
        <f t="shared" si="7"/>
        <v>0.7866666666666666</v>
      </c>
      <c r="G49" s="263">
        <f t="shared" si="8"/>
        <v>1.02</v>
      </c>
      <c r="H49" s="263"/>
      <c r="I49" s="263">
        <f t="shared" si="9"/>
        <v>1.3373333333333333</v>
      </c>
      <c r="J49" s="264"/>
      <c r="K49" s="39"/>
      <c r="L49" s="30">
        <f t="shared" si="10"/>
        <v>1.25</v>
      </c>
    </row>
  </sheetData>
  <sheetProtection sheet="1" objects="1" scenarios="1"/>
  <mergeCells count="49">
    <mergeCell ref="G49:H49"/>
    <mergeCell ref="I49:J49"/>
    <mergeCell ref="E38:F38"/>
    <mergeCell ref="G38:J38"/>
    <mergeCell ref="G39:H39"/>
    <mergeCell ref="I39:J39"/>
    <mergeCell ref="G48:H48"/>
    <mergeCell ref="I48:J48"/>
    <mergeCell ref="I47:J47"/>
    <mergeCell ref="I40:J40"/>
    <mergeCell ref="H15:I15"/>
    <mergeCell ref="J15:K15"/>
    <mergeCell ref="H16:I16"/>
    <mergeCell ref="J16:K16"/>
    <mergeCell ref="B21:C21"/>
    <mergeCell ref="D21:E21"/>
    <mergeCell ref="F21:G21"/>
    <mergeCell ref="H21:I21"/>
    <mergeCell ref="J21:K21"/>
    <mergeCell ref="H12:I12"/>
    <mergeCell ref="J12:K12"/>
    <mergeCell ref="H13:I13"/>
    <mergeCell ref="J13:K13"/>
    <mergeCell ref="H14:I14"/>
    <mergeCell ref="J14:K14"/>
    <mergeCell ref="I41:J41"/>
    <mergeCell ref="I42:J42"/>
    <mergeCell ref="I43:J43"/>
    <mergeCell ref="I44:J44"/>
    <mergeCell ref="I45:J45"/>
    <mergeCell ref="I46:J46"/>
    <mergeCell ref="G47:H47"/>
    <mergeCell ref="G41:H41"/>
    <mergeCell ref="G42:H42"/>
    <mergeCell ref="G40:H40"/>
    <mergeCell ref="G45:H45"/>
    <mergeCell ref="G46:H46"/>
    <mergeCell ref="G43:H43"/>
    <mergeCell ref="G44:H44"/>
    <mergeCell ref="A9:A10"/>
    <mergeCell ref="A21:A22"/>
    <mergeCell ref="A38:A39"/>
    <mergeCell ref="C4:K4"/>
    <mergeCell ref="J9:K9"/>
    <mergeCell ref="H9:I9"/>
    <mergeCell ref="H10:I10"/>
    <mergeCell ref="J10:K10"/>
    <mergeCell ref="H11:I11"/>
    <mergeCell ref="J11:K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&amp;R&amp;"Arial,Bold Italic"&amp;9Concrete design according to the Egyptian code 1995.</oddHeader>
    <oddFooter>&amp;L&amp;"Arial,Bold Italic"&amp;9By: Eng. Mahmoud El-Kateb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C4" sqref="C4:M4"/>
    </sheetView>
  </sheetViews>
  <sheetFormatPr defaultColWidth="9.140625" defaultRowHeight="12.75"/>
  <cols>
    <col min="1" max="1" width="4.57421875" style="30" customWidth="1"/>
    <col min="2" max="2" width="14.8515625" style="30" customWidth="1"/>
    <col min="3" max="3" width="7.7109375" style="30" customWidth="1"/>
    <col min="4" max="4" width="7.421875" style="30" customWidth="1"/>
    <col min="5" max="5" width="6.57421875" style="30" customWidth="1"/>
    <col min="6" max="6" width="6.7109375" style="30" customWidth="1"/>
    <col min="7" max="9" width="5.57421875" style="30" customWidth="1"/>
    <col min="10" max="10" width="3.7109375" style="30" customWidth="1"/>
    <col min="11" max="11" width="2.421875" style="30" customWidth="1"/>
    <col min="12" max="12" width="4.421875" style="30" customWidth="1"/>
    <col min="13" max="13" width="7.421875" style="38" customWidth="1"/>
    <col min="14" max="16" width="9.140625" style="30" hidden="1" customWidth="1"/>
    <col min="17" max="17" width="10.28125" style="30" customWidth="1"/>
    <col min="18" max="16384" width="9.140625" style="30" customWidth="1"/>
  </cols>
  <sheetData>
    <row r="1" ht="22.5">
      <c r="A1" s="34" t="s">
        <v>42</v>
      </c>
    </row>
    <row r="4" spans="2:13" ht="18.75">
      <c r="B4" s="35" t="s">
        <v>33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ht="15.75">
      <c r="B5" s="36"/>
    </row>
    <row r="6" ht="13.5" thickBot="1">
      <c r="P6" s="51"/>
    </row>
    <row r="7" spans="2:4" ht="22.5" customHeight="1" thickTop="1">
      <c r="B7" s="52" t="s">
        <v>9</v>
      </c>
      <c r="C7" s="165">
        <v>225</v>
      </c>
      <c r="D7" s="53" t="s">
        <v>8</v>
      </c>
    </row>
    <row r="8" spans="2:4" ht="22.5" customHeight="1" thickBot="1">
      <c r="B8" s="54" t="s">
        <v>44</v>
      </c>
      <c r="C8" s="166">
        <v>3600</v>
      </c>
      <c r="D8" s="55" t="s">
        <v>8</v>
      </c>
    </row>
    <row r="9" spans="2:4" ht="15.75" thickTop="1">
      <c r="B9" s="50"/>
      <c r="C9" s="40"/>
      <c r="D9" s="50"/>
    </row>
    <row r="10" ht="13.5" thickBot="1"/>
    <row r="11" spans="1:13" ht="15" customHeight="1">
      <c r="A11" s="247" t="s">
        <v>10</v>
      </c>
      <c r="B11" s="6" t="s">
        <v>91</v>
      </c>
      <c r="C11" s="6" t="s">
        <v>6</v>
      </c>
      <c r="D11" s="6" t="s">
        <v>7</v>
      </c>
      <c r="E11" s="277" t="s">
        <v>0</v>
      </c>
      <c r="F11" s="277" t="s">
        <v>1</v>
      </c>
      <c r="G11" s="16" t="s">
        <v>2</v>
      </c>
      <c r="H11" s="16" t="s">
        <v>160</v>
      </c>
      <c r="I11" s="16" t="s">
        <v>12</v>
      </c>
      <c r="J11" s="281" t="s">
        <v>203</v>
      </c>
      <c r="K11" s="282"/>
      <c r="L11" s="283"/>
      <c r="M11" s="279" t="s">
        <v>13</v>
      </c>
    </row>
    <row r="12" spans="1:13" ht="17.25" customHeight="1" thickBot="1">
      <c r="A12" s="248"/>
      <c r="B12" s="8" t="s">
        <v>57</v>
      </c>
      <c r="C12" s="8" t="s">
        <v>3</v>
      </c>
      <c r="D12" s="8" t="s">
        <v>4</v>
      </c>
      <c r="E12" s="278"/>
      <c r="F12" s="278"/>
      <c r="G12" s="17" t="s">
        <v>184</v>
      </c>
      <c r="H12" s="17" t="s">
        <v>184</v>
      </c>
      <c r="I12" s="17" t="s">
        <v>2</v>
      </c>
      <c r="J12" s="284"/>
      <c r="K12" s="285"/>
      <c r="L12" s="286"/>
      <c r="M12" s="280"/>
    </row>
    <row r="13" spans="1:16" ht="15" customHeight="1">
      <c r="A13" s="161">
        <v>1</v>
      </c>
      <c r="B13" s="162">
        <v>2</v>
      </c>
      <c r="C13" s="162">
        <v>100</v>
      </c>
      <c r="D13" s="162">
        <v>12</v>
      </c>
      <c r="E13" s="42">
        <f>D13*($C$7*C13/B13/10^5)^0.5</f>
        <v>4.024922359499621</v>
      </c>
      <c r="F13" s="42">
        <f>MIN(N13:O13)</f>
        <v>0.8050971677549652</v>
      </c>
      <c r="G13" s="56">
        <f>B13*10^5/$C$8/F13/D13</f>
        <v>5.750398604108216</v>
      </c>
      <c r="H13" s="56">
        <f>0.15/100*C13*D13</f>
        <v>1.7999999999999998</v>
      </c>
      <c r="I13" s="56">
        <f>MAX(G13:H13)</f>
        <v>5.750398604108216</v>
      </c>
      <c r="J13" s="57">
        <f>INT(I13*400/3.14/L13^2)+1</f>
        <v>6</v>
      </c>
      <c r="K13" s="58" t="s">
        <v>5</v>
      </c>
      <c r="L13" s="167">
        <v>12</v>
      </c>
      <c r="M13" s="59" t="str">
        <f>IF(P13,"safe","unsafe")</f>
        <v>safe</v>
      </c>
      <c r="N13" s="30">
        <v>0.826</v>
      </c>
      <c r="O13" s="39">
        <f>0.5*(0.87+(0.7569-3.386/E13^2)^0.5)</f>
        <v>0.8050971677549652</v>
      </c>
      <c r="P13" s="30" t="b">
        <f>E13&gt;2.78</f>
        <v>1</v>
      </c>
    </row>
    <row r="14" spans="1:16" ht="15" customHeight="1">
      <c r="A14" s="161">
        <v>2</v>
      </c>
      <c r="B14" s="162">
        <v>2</v>
      </c>
      <c r="C14" s="162">
        <v>100</v>
      </c>
      <c r="D14" s="162">
        <v>12</v>
      </c>
      <c r="E14" s="42">
        <f>D14*($C$7*C14/B14/10^5)^0.5</f>
        <v>4.024922359499621</v>
      </c>
      <c r="F14" s="42">
        <f>MIN(N14:O14)</f>
        <v>0.8050971677549652</v>
      </c>
      <c r="G14" s="56">
        <f>B14*10^5/$C$8/O14/D14</f>
        <v>5.750398604108216</v>
      </c>
      <c r="H14" s="56">
        <f aca="true" t="shared" si="0" ref="H14:H46">0.15/100*C14*D14</f>
        <v>1.7999999999999998</v>
      </c>
      <c r="I14" s="56">
        <f aca="true" t="shared" si="1" ref="I14:I46">MAX(G14:H14)</f>
        <v>5.750398604108216</v>
      </c>
      <c r="J14" s="57">
        <f aca="true" t="shared" si="2" ref="J14:J46">INT(I14*400/3.14/L14^2)+1</f>
        <v>6</v>
      </c>
      <c r="K14" s="60" t="s">
        <v>5</v>
      </c>
      <c r="L14" s="167">
        <v>12</v>
      </c>
      <c r="M14" s="61" t="str">
        <f aca="true" t="shared" si="3" ref="M14:M46">IF(P14,"safe","unsafe")</f>
        <v>safe</v>
      </c>
      <c r="N14" s="30">
        <v>0.826</v>
      </c>
      <c r="O14" s="39">
        <f aca="true" t="shared" si="4" ref="O14:O46">0.5*(0.87+(0.7569-3.386/E14^2)^0.5)</f>
        <v>0.8050971677549652</v>
      </c>
      <c r="P14" s="30" t="b">
        <f aca="true" t="shared" si="5" ref="P14:P46">E14&gt;2.78</f>
        <v>1</v>
      </c>
    </row>
    <row r="15" spans="1:16" ht="15" customHeight="1">
      <c r="A15" s="161">
        <v>3</v>
      </c>
      <c r="B15" s="162">
        <v>2</v>
      </c>
      <c r="C15" s="162">
        <v>100</v>
      </c>
      <c r="D15" s="162">
        <v>12</v>
      </c>
      <c r="E15" s="42">
        <f>D15*($C$7*C15/B15/10^5)^0.5</f>
        <v>4.024922359499621</v>
      </c>
      <c r="F15" s="42">
        <f>MIN(N15:O15)</f>
        <v>0.8050971677549652</v>
      </c>
      <c r="G15" s="56">
        <f>B15*10^5/$C$8/O15/D15</f>
        <v>5.750398604108216</v>
      </c>
      <c r="H15" s="56">
        <f t="shared" si="0"/>
        <v>1.7999999999999998</v>
      </c>
      <c r="I15" s="56">
        <f t="shared" si="1"/>
        <v>5.750398604108216</v>
      </c>
      <c r="J15" s="57">
        <f t="shared" si="2"/>
        <v>6</v>
      </c>
      <c r="K15" s="60" t="s">
        <v>5</v>
      </c>
      <c r="L15" s="167">
        <v>12</v>
      </c>
      <c r="M15" s="61" t="str">
        <f t="shared" si="3"/>
        <v>safe</v>
      </c>
      <c r="N15" s="30">
        <v>0.826</v>
      </c>
      <c r="O15" s="39">
        <f t="shared" si="4"/>
        <v>0.8050971677549652</v>
      </c>
      <c r="P15" s="30" t="b">
        <f t="shared" si="5"/>
        <v>1</v>
      </c>
    </row>
    <row r="16" spans="1:16" ht="15" customHeight="1">
      <c r="A16" s="161">
        <v>4</v>
      </c>
      <c r="B16" s="162">
        <v>2</v>
      </c>
      <c r="C16" s="162">
        <v>100</v>
      </c>
      <c r="D16" s="162">
        <v>12</v>
      </c>
      <c r="E16" s="42">
        <f aca="true" t="shared" si="6" ref="E16:E46">D16*($C$7*C16/B16/10^5)^0.5</f>
        <v>4.024922359499621</v>
      </c>
      <c r="F16" s="42">
        <f aca="true" t="shared" si="7" ref="F16:F46">MIN(N16:O16)</f>
        <v>0.8050971677549652</v>
      </c>
      <c r="G16" s="56">
        <f aca="true" t="shared" si="8" ref="G16:G46">B16*10^5/$C$8/O16/D16</f>
        <v>5.750398604108216</v>
      </c>
      <c r="H16" s="56">
        <f t="shared" si="0"/>
        <v>1.7999999999999998</v>
      </c>
      <c r="I16" s="56">
        <f t="shared" si="1"/>
        <v>5.750398604108216</v>
      </c>
      <c r="J16" s="57">
        <f t="shared" si="2"/>
        <v>6</v>
      </c>
      <c r="K16" s="60" t="s">
        <v>5</v>
      </c>
      <c r="L16" s="167">
        <v>12</v>
      </c>
      <c r="M16" s="61" t="str">
        <f t="shared" si="3"/>
        <v>safe</v>
      </c>
      <c r="N16" s="30">
        <v>0.826</v>
      </c>
      <c r="O16" s="39">
        <f t="shared" si="4"/>
        <v>0.8050971677549652</v>
      </c>
      <c r="P16" s="30" t="b">
        <f t="shared" si="5"/>
        <v>1</v>
      </c>
    </row>
    <row r="17" spans="1:16" ht="15" customHeight="1">
      <c r="A17" s="161">
        <v>5</v>
      </c>
      <c r="B17" s="162">
        <v>2</v>
      </c>
      <c r="C17" s="162">
        <v>100</v>
      </c>
      <c r="D17" s="162">
        <v>12</v>
      </c>
      <c r="E17" s="42">
        <f t="shared" si="6"/>
        <v>4.024922359499621</v>
      </c>
      <c r="F17" s="42">
        <f t="shared" si="7"/>
        <v>0.8050971677549652</v>
      </c>
      <c r="G17" s="56">
        <f t="shared" si="8"/>
        <v>5.750398604108216</v>
      </c>
      <c r="H17" s="56">
        <f t="shared" si="0"/>
        <v>1.7999999999999998</v>
      </c>
      <c r="I17" s="56">
        <f t="shared" si="1"/>
        <v>5.750398604108216</v>
      </c>
      <c r="J17" s="57">
        <f t="shared" si="2"/>
        <v>6</v>
      </c>
      <c r="K17" s="60" t="s">
        <v>5</v>
      </c>
      <c r="L17" s="167">
        <v>12</v>
      </c>
      <c r="M17" s="61" t="str">
        <f t="shared" si="3"/>
        <v>safe</v>
      </c>
      <c r="N17" s="30">
        <v>0.826</v>
      </c>
      <c r="O17" s="39">
        <f t="shared" si="4"/>
        <v>0.8050971677549652</v>
      </c>
      <c r="P17" s="30" t="b">
        <f t="shared" si="5"/>
        <v>1</v>
      </c>
    </row>
    <row r="18" spans="1:16" ht="15" customHeight="1">
      <c r="A18" s="161">
        <v>6</v>
      </c>
      <c r="B18" s="162">
        <v>2</v>
      </c>
      <c r="C18" s="162">
        <v>100</v>
      </c>
      <c r="D18" s="162">
        <v>12</v>
      </c>
      <c r="E18" s="42">
        <f t="shared" si="6"/>
        <v>4.024922359499621</v>
      </c>
      <c r="F18" s="42">
        <f t="shared" si="7"/>
        <v>0.8050971677549652</v>
      </c>
      <c r="G18" s="56">
        <f t="shared" si="8"/>
        <v>5.750398604108216</v>
      </c>
      <c r="H18" s="56">
        <f t="shared" si="0"/>
        <v>1.7999999999999998</v>
      </c>
      <c r="I18" s="56">
        <f t="shared" si="1"/>
        <v>5.750398604108216</v>
      </c>
      <c r="J18" s="57">
        <f t="shared" si="2"/>
        <v>6</v>
      </c>
      <c r="K18" s="60" t="s">
        <v>5</v>
      </c>
      <c r="L18" s="167">
        <v>12</v>
      </c>
      <c r="M18" s="61" t="str">
        <f t="shared" si="3"/>
        <v>safe</v>
      </c>
      <c r="N18" s="30">
        <v>0.826</v>
      </c>
      <c r="O18" s="39">
        <f t="shared" si="4"/>
        <v>0.8050971677549652</v>
      </c>
      <c r="P18" s="30" t="b">
        <f t="shared" si="5"/>
        <v>1</v>
      </c>
    </row>
    <row r="19" spans="1:16" ht="15" customHeight="1">
      <c r="A19" s="161">
        <v>7</v>
      </c>
      <c r="B19" s="162">
        <v>2</v>
      </c>
      <c r="C19" s="162">
        <v>100</v>
      </c>
      <c r="D19" s="162">
        <v>12</v>
      </c>
      <c r="E19" s="42">
        <f t="shared" si="6"/>
        <v>4.024922359499621</v>
      </c>
      <c r="F19" s="42">
        <f t="shared" si="7"/>
        <v>0.8050971677549652</v>
      </c>
      <c r="G19" s="56">
        <f t="shared" si="8"/>
        <v>5.750398604108216</v>
      </c>
      <c r="H19" s="56">
        <f t="shared" si="0"/>
        <v>1.7999999999999998</v>
      </c>
      <c r="I19" s="56">
        <f t="shared" si="1"/>
        <v>5.750398604108216</v>
      </c>
      <c r="J19" s="57">
        <f t="shared" si="2"/>
        <v>6</v>
      </c>
      <c r="K19" s="60" t="s">
        <v>5</v>
      </c>
      <c r="L19" s="167">
        <v>12</v>
      </c>
      <c r="M19" s="61" t="str">
        <f t="shared" si="3"/>
        <v>safe</v>
      </c>
      <c r="N19" s="30">
        <v>0.826</v>
      </c>
      <c r="O19" s="39">
        <f t="shared" si="4"/>
        <v>0.8050971677549652</v>
      </c>
      <c r="P19" s="30" t="b">
        <f t="shared" si="5"/>
        <v>1</v>
      </c>
    </row>
    <row r="20" spans="1:16" ht="15" customHeight="1">
      <c r="A20" s="161">
        <v>8</v>
      </c>
      <c r="B20" s="162">
        <v>2</v>
      </c>
      <c r="C20" s="162">
        <v>100</v>
      </c>
      <c r="D20" s="162">
        <v>12</v>
      </c>
      <c r="E20" s="42">
        <f t="shared" si="6"/>
        <v>4.024922359499621</v>
      </c>
      <c r="F20" s="42">
        <f t="shared" si="7"/>
        <v>0.8050971677549652</v>
      </c>
      <c r="G20" s="56">
        <f t="shared" si="8"/>
        <v>5.750398604108216</v>
      </c>
      <c r="H20" s="56">
        <f t="shared" si="0"/>
        <v>1.7999999999999998</v>
      </c>
      <c r="I20" s="56">
        <f t="shared" si="1"/>
        <v>5.750398604108216</v>
      </c>
      <c r="J20" s="57">
        <f t="shared" si="2"/>
        <v>6</v>
      </c>
      <c r="K20" s="60" t="s">
        <v>5</v>
      </c>
      <c r="L20" s="167">
        <v>12</v>
      </c>
      <c r="M20" s="61" t="str">
        <f t="shared" si="3"/>
        <v>safe</v>
      </c>
      <c r="N20" s="30">
        <v>0.826</v>
      </c>
      <c r="O20" s="39">
        <f t="shared" si="4"/>
        <v>0.8050971677549652</v>
      </c>
      <c r="P20" s="30" t="b">
        <f t="shared" si="5"/>
        <v>1</v>
      </c>
    </row>
    <row r="21" spans="1:16" ht="15" customHeight="1">
      <c r="A21" s="161">
        <v>9</v>
      </c>
      <c r="B21" s="162">
        <v>2</v>
      </c>
      <c r="C21" s="162">
        <v>100</v>
      </c>
      <c r="D21" s="162">
        <v>12</v>
      </c>
      <c r="E21" s="42">
        <f t="shared" si="6"/>
        <v>4.024922359499621</v>
      </c>
      <c r="F21" s="42">
        <f t="shared" si="7"/>
        <v>0.8050971677549652</v>
      </c>
      <c r="G21" s="56">
        <f t="shared" si="8"/>
        <v>5.750398604108216</v>
      </c>
      <c r="H21" s="56">
        <f t="shared" si="0"/>
        <v>1.7999999999999998</v>
      </c>
      <c r="I21" s="56">
        <f t="shared" si="1"/>
        <v>5.750398604108216</v>
      </c>
      <c r="J21" s="57">
        <f t="shared" si="2"/>
        <v>6</v>
      </c>
      <c r="K21" s="60" t="s">
        <v>5</v>
      </c>
      <c r="L21" s="167">
        <v>12</v>
      </c>
      <c r="M21" s="61" t="str">
        <f t="shared" si="3"/>
        <v>safe</v>
      </c>
      <c r="N21" s="30">
        <v>0.826</v>
      </c>
      <c r="O21" s="39">
        <f t="shared" si="4"/>
        <v>0.8050971677549652</v>
      </c>
      <c r="P21" s="30" t="b">
        <f t="shared" si="5"/>
        <v>1</v>
      </c>
    </row>
    <row r="22" spans="1:16" ht="15" customHeight="1">
      <c r="A22" s="161">
        <v>10</v>
      </c>
      <c r="B22" s="162">
        <v>2</v>
      </c>
      <c r="C22" s="162">
        <v>100</v>
      </c>
      <c r="D22" s="162">
        <v>12</v>
      </c>
      <c r="E22" s="42">
        <f t="shared" si="6"/>
        <v>4.024922359499621</v>
      </c>
      <c r="F22" s="42">
        <f t="shared" si="7"/>
        <v>0.8050971677549652</v>
      </c>
      <c r="G22" s="56">
        <f t="shared" si="8"/>
        <v>5.750398604108216</v>
      </c>
      <c r="H22" s="56">
        <f t="shared" si="0"/>
        <v>1.7999999999999998</v>
      </c>
      <c r="I22" s="56">
        <f t="shared" si="1"/>
        <v>5.750398604108216</v>
      </c>
      <c r="J22" s="57">
        <f t="shared" si="2"/>
        <v>6</v>
      </c>
      <c r="K22" s="60" t="s">
        <v>5</v>
      </c>
      <c r="L22" s="167">
        <v>12</v>
      </c>
      <c r="M22" s="61" t="str">
        <f t="shared" si="3"/>
        <v>safe</v>
      </c>
      <c r="N22" s="30">
        <v>0.826</v>
      </c>
      <c r="O22" s="39">
        <f t="shared" si="4"/>
        <v>0.8050971677549652</v>
      </c>
      <c r="P22" s="30" t="b">
        <f t="shared" si="5"/>
        <v>1</v>
      </c>
    </row>
    <row r="23" spans="1:16" ht="15" customHeight="1">
      <c r="A23" s="161">
        <v>11</v>
      </c>
      <c r="B23" s="162">
        <v>2</v>
      </c>
      <c r="C23" s="162">
        <v>100</v>
      </c>
      <c r="D23" s="162">
        <v>12</v>
      </c>
      <c r="E23" s="42">
        <f t="shared" si="6"/>
        <v>4.024922359499621</v>
      </c>
      <c r="F23" s="42">
        <f t="shared" si="7"/>
        <v>0.8050971677549652</v>
      </c>
      <c r="G23" s="56">
        <f t="shared" si="8"/>
        <v>5.750398604108216</v>
      </c>
      <c r="H23" s="56">
        <f t="shared" si="0"/>
        <v>1.7999999999999998</v>
      </c>
      <c r="I23" s="56">
        <f t="shared" si="1"/>
        <v>5.750398604108216</v>
      </c>
      <c r="J23" s="57">
        <f t="shared" si="2"/>
        <v>6</v>
      </c>
      <c r="K23" s="60" t="s">
        <v>5</v>
      </c>
      <c r="L23" s="167">
        <v>12</v>
      </c>
      <c r="M23" s="61" t="str">
        <f t="shared" si="3"/>
        <v>safe</v>
      </c>
      <c r="N23" s="30">
        <v>0.826</v>
      </c>
      <c r="O23" s="39">
        <f t="shared" si="4"/>
        <v>0.8050971677549652</v>
      </c>
      <c r="P23" s="30" t="b">
        <f t="shared" si="5"/>
        <v>1</v>
      </c>
    </row>
    <row r="24" spans="1:16" ht="15" customHeight="1">
      <c r="A24" s="161">
        <v>12</v>
      </c>
      <c r="B24" s="162">
        <v>2</v>
      </c>
      <c r="C24" s="162">
        <v>100</v>
      </c>
      <c r="D24" s="162">
        <v>12</v>
      </c>
      <c r="E24" s="42">
        <f t="shared" si="6"/>
        <v>4.024922359499621</v>
      </c>
      <c r="F24" s="42">
        <f t="shared" si="7"/>
        <v>0.8050971677549652</v>
      </c>
      <c r="G24" s="56">
        <f t="shared" si="8"/>
        <v>5.750398604108216</v>
      </c>
      <c r="H24" s="56">
        <f t="shared" si="0"/>
        <v>1.7999999999999998</v>
      </c>
      <c r="I24" s="56">
        <f t="shared" si="1"/>
        <v>5.750398604108216</v>
      </c>
      <c r="J24" s="57">
        <f t="shared" si="2"/>
        <v>6</v>
      </c>
      <c r="K24" s="60" t="s">
        <v>5</v>
      </c>
      <c r="L24" s="167">
        <v>12</v>
      </c>
      <c r="M24" s="61" t="str">
        <f t="shared" si="3"/>
        <v>safe</v>
      </c>
      <c r="N24" s="30">
        <v>0.826</v>
      </c>
      <c r="O24" s="39">
        <f t="shared" si="4"/>
        <v>0.8050971677549652</v>
      </c>
      <c r="P24" s="30" t="b">
        <f t="shared" si="5"/>
        <v>1</v>
      </c>
    </row>
    <row r="25" spans="1:16" ht="15" customHeight="1">
      <c r="A25" s="161">
        <v>13</v>
      </c>
      <c r="B25" s="162">
        <v>2</v>
      </c>
      <c r="C25" s="162">
        <v>100</v>
      </c>
      <c r="D25" s="162">
        <v>12</v>
      </c>
      <c r="E25" s="42">
        <f t="shared" si="6"/>
        <v>4.024922359499621</v>
      </c>
      <c r="F25" s="42">
        <f t="shared" si="7"/>
        <v>0.8050971677549652</v>
      </c>
      <c r="G25" s="56">
        <f t="shared" si="8"/>
        <v>5.750398604108216</v>
      </c>
      <c r="H25" s="56">
        <f t="shared" si="0"/>
        <v>1.7999999999999998</v>
      </c>
      <c r="I25" s="56">
        <f t="shared" si="1"/>
        <v>5.750398604108216</v>
      </c>
      <c r="J25" s="57">
        <f t="shared" si="2"/>
        <v>6</v>
      </c>
      <c r="K25" s="60" t="s">
        <v>5</v>
      </c>
      <c r="L25" s="167">
        <v>12</v>
      </c>
      <c r="M25" s="61" t="str">
        <f t="shared" si="3"/>
        <v>safe</v>
      </c>
      <c r="N25" s="30">
        <v>0.826</v>
      </c>
      <c r="O25" s="39">
        <f t="shared" si="4"/>
        <v>0.8050971677549652</v>
      </c>
      <c r="P25" s="30" t="b">
        <f t="shared" si="5"/>
        <v>1</v>
      </c>
    </row>
    <row r="26" spans="1:16" ht="15" customHeight="1">
      <c r="A26" s="161">
        <v>14</v>
      </c>
      <c r="B26" s="162">
        <v>2</v>
      </c>
      <c r="C26" s="162">
        <v>100</v>
      </c>
      <c r="D26" s="162">
        <v>12</v>
      </c>
      <c r="E26" s="42">
        <f t="shared" si="6"/>
        <v>4.024922359499621</v>
      </c>
      <c r="F26" s="42">
        <f t="shared" si="7"/>
        <v>0.8050971677549652</v>
      </c>
      <c r="G26" s="56">
        <f t="shared" si="8"/>
        <v>5.750398604108216</v>
      </c>
      <c r="H26" s="56">
        <f t="shared" si="0"/>
        <v>1.7999999999999998</v>
      </c>
      <c r="I26" s="56">
        <f t="shared" si="1"/>
        <v>5.750398604108216</v>
      </c>
      <c r="J26" s="57">
        <f t="shared" si="2"/>
        <v>6</v>
      </c>
      <c r="K26" s="60" t="s">
        <v>5</v>
      </c>
      <c r="L26" s="167">
        <v>12</v>
      </c>
      <c r="M26" s="61" t="str">
        <f t="shared" si="3"/>
        <v>safe</v>
      </c>
      <c r="N26" s="30">
        <v>0.826</v>
      </c>
      <c r="O26" s="39">
        <f t="shared" si="4"/>
        <v>0.8050971677549652</v>
      </c>
      <c r="P26" s="30" t="b">
        <f t="shared" si="5"/>
        <v>1</v>
      </c>
    </row>
    <row r="27" spans="1:16" ht="15" customHeight="1">
      <c r="A27" s="161">
        <v>15</v>
      </c>
      <c r="B27" s="162">
        <v>2</v>
      </c>
      <c r="C27" s="162">
        <v>100</v>
      </c>
      <c r="D27" s="162">
        <v>12</v>
      </c>
      <c r="E27" s="42">
        <f t="shared" si="6"/>
        <v>4.024922359499621</v>
      </c>
      <c r="F27" s="42">
        <f t="shared" si="7"/>
        <v>0.8050971677549652</v>
      </c>
      <c r="G27" s="56">
        <f t="shared" si="8"/>
        <v>5.750398604108216</v>
      </c>
      <c r="H27" s="56">
        <f t="shared" si="0"/>
        <v>1.7999999999999998</v>
      </c>
      <c r="I27" s="56">
        <f t="shared" si="1"/>
        <v>5.750398604108216</v>
      </c>
      <c r="J27" s="57">
        <f t="shared" si="2"/>
        <v>6</v>
      </c>
      <c r="K27" s="60" t="s">
        <v>5</v>
      </c>
      <c r="L27" s="167">
        <v>12</v>
      </c>
      <c r="M27" s="61" t="str">
        <f t="shared" si="3"/>
        <v>safe</v>
      </c>
      <c r="N27" s="30">
        <v>0.826</v>
      </c>
      <c r="O27" s="39">
        <f t="shared" si="4"/>
        <v>0.8050971677549652</v>
      </c>
      <c r="P27" s="30" t="b">
        <f t="shared" si="5"/>
        <v>1</v>
      </c>
    </row>
    <row r="28" spans="1:16" ht="15" customHeight="1">
      <c r="A28" s="161">
        <v>16</v>
      </c>
      <c r="B28" s="162">
        <v>2</v>
      </c>
      <c r="C28" s="162">
        <v>100</v>
      </c>
      <c r="D28" s="162">
        <v>12</v>
      </c>
      <c r="E28" s="42">
        <f t="shared" si="6"/>
        <v>4.024922359499621</v>
      </c>
      <c r="F28" s="42">
        <f t="shared" si="7"/>
        <v>0.8050971677549652</v>
      </c>
      <c r="G28" s="56">
        <f t="shared" si="8"/>
        <v>5.750398604108216</v>
      </c>
      <c r="H28" s="56">
        <f t="shared" si="0"/>
        <v>1.7999999999999998</v>
      </c>
      <c r="I28" s="56">
        <f t="shared" si="1"/>
        <v>5.750398604108216</v>
      </c>
      <c r="J28" s="57">
        <f t="shared" si="2"/>
        <v>6</v>
      </c>
      <c r="K28" s="60" t="s">
        <v>5</v>
      </c>
      <c r="L28" s="167">
        <v>12</v>
      </c>
      <c r="M28" s="61" t="str">
        <f t="shared" si="3"/>
        <v>safe</v>
      </c>
      <c r="N28" s="30">
        <v>0.826</v>
      </c>
      <c r="O28" s="39">
        <f t="shared" si="4"/>
        <v>0.8050971677549652</v>
      </c>
      <c r="P28" s="30" t="b">
        <f t="shared" si="5"/>
        <v>1</v>
      </c>
    </row>
    <row r="29" spans="1:16" ht="15" customHeight="1">
      <c r="A29" s="161">
        <v>17</v>
      </c>
      <c r="B29" s="162">
        <v>2</v>
      </c>
      <c r="C29" s="162">
        <v>100</v>
      </c>
      <c r="D29" s="162">
        <v>12</v>
      </c>
      <c r="E29" s="42">
        <f t="shared" si="6"/>
        <v>4.024922359499621</v>
      </c>
      <c r="F29" s="42">
        <f t="shared" si="7"/>
        <v>0.8050971677549652</v>
      </c>
      <c r="G29" s="56">
        <f t="shared" si="8"/>
        <v>5.750398604108216</v>
      </c>
      <c r="H29" s="56">
        <f t="shared" si="0"/>
        <v>1.7999999999999998</v>
      </c>
      <c r="I29" s="56">
        <f t="shared" si="1"/>
        <v>5.750398604108216</v>
      </c>
      <c r="J29" s="57">
        <f t="shared" si="2"/>
        <v>6</v>
      </c>
      <c r="K29" s="60" t="s">
        <v>5</v>
      </c>
      <c r="L29" s="167">
        <v>12</v>
      </c>
      <c r="M29" s="61" t="str">
        <f t="shared" si="3"/>
        <v>safe</v>
      </c>
      <c r="N29" s="30">
        <v>0.826</v>
      </c>
      <c r="O29" s="39">
        <f t="shared" si="4"/>
        <v>0.8050971677549652</v>
      </c>
      <c r="P29" s="30" t="b">
        <f t="shared" si="5"/>
        <v>1</v>
      </c>
    </row>
    <row r="30" spans="1:16" ht="15" customHeight="1">
      <c r="A30" s="161">
        <v>18</v>
      </c>
      <c r="B30" s="162">
        <v>2</v>
      </c>
      <c r="C30" s="162">
        <v>100</v>
      </c>
      <c r="D30" s="162">
        <v>12</v>
      </c>
      <c r="E30" s="42">
        <f t="shared" si="6"/>
        <v>4.024922359499621</v>
      </c>
      <c r="F30" s="42">
        <f t="shared" si="7"/>
        <v>0.8050971677549652</v>
      </c>
      <c r="G30" s="56">
        <f t="shared" si="8"/>
        <v>5.750398604108216</v>
      </c>
      <c r="H30" s="56">
        <f t="shared" si="0"/>
        <v>1.7999999999999998</v>
      </c>
      <c r="I30" s="56">
        <f t="shared" si="1"/>
        <v>5.750398604108216</v>
      </c>
      <c r="J30" s="57">
        <f t="shared" si="2"/>
        <v>6</v>
      </c>
      <c r="K30" s="60" t="s">
        <v>5</v>
      </c>
      <c r="L30" s="167">
        <v>12</v>
      </c>
      <c r="M30" s="61" t="str">
        <f t="shared" si="3"/>
        <v>safe</v>
      </c>
      <c r="N30" s="30">
        <v>0.826</v>
      </c>
      <c r="O30" s="39">
        <f t="shared" si="4"/>
        <v>0.8050971677549652</v>
      </c>
      <c r="P30" s="30" t="b">
        <f t="shared" si="5"/>
        <v>1</v>
      </c>
    </row>
    <row r="31" spans="1:16" ht="15" customHeight="1">
      <c r="A31" s="161">
        <v>19</v>
      </c>
      <c r="B31" s="162">
        <v>2</v>
      </c>
      <c r="C31" s="162">
        <v>100</v>
      </c>
      <c r="D31" s="162">
        <v>12</v>
      </c>
      <c r="E31" s="42">
        <f t="shared" si="6"/>
        <v>4.024922359499621</v>
      </c>
      <c r="F31" s="42">
        <f t="shared" si="7"/>
        <v>0.8050971677549652</v>
      </c>
      <c r="G31" s="56">
        <f t="shared" si="8"/>
        <v>5.750398604108216</v>
      </c>
      <c r="H31" s="56">
        <f t="shared" si="0"/>
        <v>1.7999999999999998</v>
      </c>
      <c r="I31" s="56">
        <f t="shared" si="1"/>
        <v>5.750398604108216</v>
      </c>
      <c r="J31" s="57">
        <f t="shared" si="2"/>
        <v>6</v>
      </c>
      <c r="K31" s="60" t="s">
        <v>5</v>
      </c>
      <c r="L31" s="167">
        <v>12</v>
      </c>
      <c r="M31" s="61" t="str">
        <f t="shared" si="3"/>
        <v>safe</v>
      </c>
      <c r="N31" s="30">
        <v>0.826</v>
      </c>
      <c r="O31" s="39">
        <f t="shared" si="4"/>
        <v>0.8050971677549652</v>
      </c>
      <c r="P31" s="30" t="b">
        <f t="shared" si="5"/>
        <v>1</v>
      </c>
    </row>
    <row r="32" spans="1:16" ht="15" customHeight="1">
      <c r="A32" s="161">
        <v>20</v>
      </c>
      <c r="B32" s="162">
        <v>2</v>
      </c>
      <c r="C32" s="162">
        <v>100</v>
      </c>
      <c r="D32" s="162">
        <v>12</v>
      </c>
      <c r="E32" s="42">
        <f t="shared" si="6"/>
        <v>4.024922359499621</v>
      </c>
      <c r="F32" s="42">
        <f t="shared" si="7"/>
        <v>0.8050971677549652</v>
      </c>
      <c r="G32" s="56">
        <f t="shared" si="8"/>
        <v>5.750398604108216</v>
      </c>
      <c r="H32" s="56">
        <f t="shared" si="0"/>
        <v>1.7999999999999998</v>
      </c>
      <c r="I32" s="56">
        <f t="shared" si="1"/>
        <v>5.750398604108216</v>
      </c>
      <c r="J32" s="57">
        <f t="shared" si="2"/>
        <v>6</v>
      </c>
      <c r="K32" s="60" t="s">
        <v>5</v>
      </c>
      <c r="L32" s="167">
        <v>12</v>
      </c>
      <c r="M32" s="61" t="str">
        <f t="shared" si="3"/>
        <v>safe</v>
      </c>
      <c r="N32" s="30">
        <v>0.826</v>
      </c>
      <c r="O32" s="39">
        <f t="shared" si="4"/>
        <v>0.8050971677549652</v>
      </c>
      <c r="P32" s="30" t="b">
        <f t="shared" si="5"/>
        <v>1</v>
      </c>
    </row>
    <row r="33" spans="1:16" ht="15" customHeight="1">
      <c r="A33" s="161">
        <v>21</v>
      </c>
      <c r="B33" s="162">
        <v>2</v>
      </c>
      <c r="C33" s="162">
        <v>100</v>
      </c>
      <c r="D33" s="162">
        <v>12</v>
      </c>
      <c r="E33" s="42">
        <f t="shared" si="6"/>
        <v>4.024922359499621</v>
      </c>
      <c r="F33" s="42">
        <f t="shared" si="7"/>
        <v>0.8050971677549652</v>
      </c>
      <c r="G33" s="56">
        <f t="shared" si="8"/>
        <v>5.750398604108216</v>
      </c>
      <c r="H33" s="56">
        <f t="shared" si="0"/>
        <v>1.7999999999999998</v>
      </c>
      <c r="I33" s="56">
        <f t="shared" si="1"/>
        <v>5.750398604108216</v>
      </c>
      <c r="J33" s="57">
        <f t="shared" si="2"/>
        <v>6</v>
      </c>
      <c r="K33" s="60" t="s">
        <v>5</v>
      </c>
      <c r="L33" s="167">
        <v>12</v>
      </c>
      <c r="M33" s="61" t="str">
        <f t="shared" si="3"/>
        <v>safe</v>
      </c>
      <c r="N33" s="30">
        <v>0.826</v>
      </c>
      <c r="O33" s="39">
        <f t="shared" si="4"/>
        <v>0.8050971677549652</v>
      </c>
      <c r="P33" s="30" t="b">
        <f t="shared" si="5"/>
        <v>1</v>
      </c>
    </row>
    <row r="34" spans="1:16" ht="15" customHeight="1">
      <c r="A34" s="161">
        <v>22</v>
      </c>
      <c r="B34" s="162">
        <v>2</v>
      </c>
      <c r="C34" s="162">
        <v>100</v>
      </c>
      <c r="D34" s="162">
        <v>12</v>
      </c>
      <c r="E34" s="42">
        <f t="shared" si="6"/>
        <v>4.024922359499621</v>
      </c>
      <c r="F34" s="42">
        <f t="shared" si="7"/>
        <v>0.8050971677549652</v>
      </c>
      <c r="G34" s="56">
        <f t="shared" si="8"/>
        <v>5.750398604108216</v>
      </c>
      <c r="H34" s="56">
        <f t="shared" si="0"/>
        <v>1.7999999999999998</v>
      </c>
      <c r="I34" s="56">
        <f t="shared" si="1"/>
        <v>5.750398604108216</v>
      </c>
      <c r="J34" s="57">
        <f t="shared" si="2"/>
        <v>6</v>
      </c>
      <c r="K34" s="60" t="s">
        <v>5</v>
      </c>
      <c r="L34" s="167">
        <v>12</v>
      </c>
      <c r="M34" s="61" t="str">
        <f t="shared" si="3"/>
        <v>safe</v>
      </c>
      <c r="N34" s="30">
        <v>0.826</v>
      </c>
      <c r="O34" s="39">
        <f t="shared" si="4"/>
        <v>0.8050971677549652</v>
      </c>
      <c r="P34" s="30" t="b">
        <f t="shared" si="5"/>
        <v>1</v>
      </c>
    </row>
    <row r="35" spans="1:16" ht="15" customHeight="1">
      <c r="A35" s="161">
        <v>23</v>
      </c>
      <c r="B35" s="162">
        <v>2</v>
      </c>
      <c r="C35" s="162">
        <v>100</v>
      </c>
      <c r="D35" s="162">
        <v>12</v>
      </c>
      <c r="E35" s="42">
        <f t="shared" si="6"/>
        <v>4.024922359499621</v>
      </c>
      <c r="F35" s="42">
        <f t="shared" si="7"/>
        <v>0.8050971677549652</v>
      </c>
      <c r="G35" s="56">
        <f t="shared" si="8"/>
        <v>5.750398604108216</v>
      </c>
      <c r="H35" s="56">
        <f t="shared" si="0"/>
        <v>1.7999999999999998</v>
      </c>
      <c r="I35" s="56">
        <f t="shared" si="1"/>
        <v>5.750398604108216</v>
      </c>
      <c r="J35" s="57">
        <f t="shared" si="2"/>
        <v>6</v>
      </c>
      <c r="K35" s="60" t="s">
        <v>5</v>
      </c>
      <c r="L35" s="167">
        <v>12</v>
      </c>
      <c r="M35" s="61" t="str">
        <f t="shared" si="3"/>
        <v>safe</v>
      </c>
      <c r="N35" s="30">
        <v>0.826</v>
      </c>
      <c r="O35" s="39">
        <f t="shared" si="4"/>
        <v>0.8050971677549652</v>
      </c>
      <c r="P35" s="30" t="b">
        <f t="shared" si="5"/>
        <v>1</v>
      </c>
    </row>
    <row r="36" spans="1:16" ht="15" customHeight="1">
      <c r="A36" s="161">
        <v>24</v>
      </c>
      <c r="B36" s="162">
        <v>2</v>
      </c>
      <c r="C36" s="162">
        <v>100</v>
      </c>
      <c r="D36" s="162">
        <v>12</v>
      </c>
      <c r="E36" s="42">
        <f t="shared" si="6"/>
        <v>4.024922359499621</v>
      </c>
      <c r="F36" s="42">
        <f t="shared" si="7"/>
        <v>0.8050971677549652</v>
      </c>
      <c r="G36" s="56">
        <f t="shared" si="8"/>
        <v>5.750398604108216</v>
      </c>
      <c r="H36" s="56">
        <f t="shared" si="0"/>
        <v>1.7999999999999998</v>
      </c>
      <c r="I36" s="56">
        <f t="shared" si="1"/>
        <v>5.750398604108216</v>
      </c>
      <c r="J36" s="57">
        <f t="shared" si="2"/>
        <v>6</v>
      </c>
      <c r="K36" s="60" t="s">
        <v>5</v>
      </c>
      <c r="L36" s="167">
        <v>12</v>
      </c>
      <c r="M36" s="61" t="str">
        <f t="shared" si="3"/>
        <v>safe</v>
      </c>
      <c r="N36" s="30">
        <v>0.826</v>
      </c>
      <c r="O36" s="39">
        <f t="shared" si="4"/>
        <v>0.8050971677549652</v>
      </c>
      <c r="P36" s="30" t="b">
        <f t="shared" si="5"/>
        <v>1</v>
      </c>
    </row>
    <row r="37" spans="1:16" ht="15" customHeight="1">
      <c r="A37" s="161">
        <v>25</v>
      </c>
      <c r="B37" s="162">
        <v>2</v>
      </c>
      <c r="C37" s="162">
        <v>100</v>
      </c>
      <c r="D37" s="162">
        <v>12</v>
      </c>
      <c r="E37" s="42">
        <f t="shared" si="6"/>
        <v>4.024922359499621</v>
      </c>
      <c r="F37" s="42">
        <f t="shared" si="7"/>
        <v>0.8050971677549652</v>
      </c>
      <c r="G37" s="56">
        <f t="shared" si="8"/>
        <v>5.750398604108216</v>
      </c>
      <c r="H37" s="56">
        <f t="shared" si="0"/>
        <v>1.7999999999999998</v>
      </c>
      <c r="I37" s="56">
        <f t="shared" si="1"/>
        <v>5.750398604108216</v>
      </c>
      <c r="J37" s="57">
        <f t="shared" si="2"/>
        <v>6</v>
      </c>
      <c r="K37" s="60" t="s">
        <v>5</v>
      </c>
      <c r="L37" s="167">
        <v>12</v>
      </c>
      <c r="M37" s="61" t="str">
        <f t="shared" si="3"/>
        <v>safe</v>
      </c>
      <c r="N37" s="30">
        <v>0.826</v>
      </c>
      <c r="O37" s="39">
        <f t="shared" si="4"/>
        <v>0.8050971677549652</v>
      </c>
      <c r="P37" s="30" t="b">
        <f t="shared" si="5"/>
        <v>1</v>
      </c>
    </row>
    <row r="38" spans="1:16" ht="15" customHeight="1">
      <c r="A38" s="161">
        <v>26</v>
      </c>
      <c r="B38" s="162">
        <v>2</v>
      </c>
      <c r="C38" s="162">
        <v>100</v>
      </c>
      <c r="D38" s="162">
        <v>12</v>
      </c>
      <c r="E38" s="42">
        <f t="shared" si="6"/>
        <v>4.024922359499621</v>
      </c>
      <c r="F38" s="42">
        <f t="shared" si="7"/>
        <v>0.8050971677549652</v>
      </c>
      <c r="G38" s="56">
        <f t="shared" si="8"/>
        <v>5.750398604108216</v>
      </c>
      <c r="H38" s="56">
        <f t="shared" si="0"/>
        <v>1.7999999999999998</v>
      </c>
      <c r="I38" s="56">
        <f t="shared" si="1"/>
        <v>5.750398604108216</v>
      </c>
      <c r="J38" s="57">
        <f t="shared" si="2"/>
        <v>6</v>
      </c>
      <c r="K38" s="60" t="s">
        <v>5</v>
      </c>
      <c r="L38" s="167">
        <v>12</v>
      </c>
      <c r="M38" s="61" t="str">
        <f t="shared" si="3"/>
        <v>safe</v>
      </c>
      <c r="N38" s="30">
        <v>0.826</v>
      </c>
      <c r="O38" s="39">
        <f t="shared" si="4"/>
        <v>0.8050971677549652</v>
      </c>
      <c r="P38" s="30" t="b">
        <f t="shared" si="5"/>
        <v>1</v>
      </c>
    </row>
    <row r="39" spans="1:16" ht="15" customHeight="1">
      <c r="A39" s="161">
        <v>27</v>
      </c>
      <c r="B39" s="162">
        <v>2</v>
      </c>
      <c r="C39" s="162">
        <v>100</v>
      </c>
      <c r="D39" s="162">
        <v>12</v>
      </c>
      <c r="E39" s="42">
        <f t="shared" si="6"/>
        <v>4.024922359499621</v>
      </c>
      <c r="F39" s="42">
        <f t="shared" si="7"/>
        <v>0.8050971677549652</v>
      </c>
      <c r="G39" s="56">
        <f t="shared" si="8"/>
        <v>5.750398604108216</v>
      </c>
      <c r="H39" s="56">
        <f t="shared" si="0"/>
        <v>1.7999999999999998</v>
      </c>
      <c r="I39" s="56">
        <f t="shared" si="1"/>
        <v>5.750398604108216</v>
      </c>
      <c r="J39" s="57">
        <f t="shared" si="2"/>
        <v>6</v>
      </c>
      <c r="K39" s="60" t="s">
        <v>5</v>
      </c>
      <c r="L39" s="167">
        <v>12</v>
      </c>
      <c r="M39" s="61" t="str">
        <f t="shared" si="3"/>
        <v>safe</v>
      </c>
      <c r="N39" s="30">
        <v>0.826</v>
      </c>
      <c r="O39" s="39">
        <f t="shared" si="4"/>
        <v>0.8050971677549652</v>
      </c>
      <c r="P39" s="30" t="b">
        <f t="shared" si="5"/>
        <v>1</v>
      </c>
    </row>
    <row r="40" spans="1:16" ht="15" customHeight="1">
      <c r="A40" s="161">
        <v>28</v>
      </c>
      <c r="B40" s="162">
        <v>2</v>
      </c>
      <c r="C40" s="162">
        <v>100</v>
      </c>
      <c r="D40" s="162">
        <v>12</v>
      </c>
      <c r="E40" s="42">
        <f t="shared" si="6"/>
        <v>4.024922359499621</v>
      </c>
      <c r="F40" s="42">
        <f t="shared" si="7"/>
        <v>0.8050971677549652</v>
      </c>
      <c r="G40" s="56">
        <f t="shared" si="8"/>
        <v>5.750398604108216</v>
      </c>
      <c r="H40" s="56">
        <f t="shared" si="0"/>
        <v>1.7999999999999998</v>
      </c>
      <c r="I40" s="56">
        <f t="shared" si="1"/>
        <v>5.750398604108216</v>
      </c>
      <c r="J40" s="57">
        <f t="shared" si="2"/>
        <v>6</v>
      </c>
      <c r="K40" s="60" t="s">
        <v>5</v>
      </c>
      <c r="L40" s="167">
        <v>12</v>
      </c>
      <c r="M40" s="61" t="str">
        <f t="shared" si="3"/>
        <v>safe</v>
      </c>
      <c r="N40" s="30">
        <v>0.826</v>
      </c>
      <c r="O40" s="39">
        <f t="shared" si="4"/>
        <v>0.8050971677549652</v>
      </c>
      <c r="P40" s="30" t="b">
        <f t="shared" si="5"/>
        <v>1</v>
      </c>
    </row>
    <row r="41" spans="1:16" ht="15" customHeight="1">
      <c r="A41" s="161">
        <v>29</v>
      </c>
      <c r="B41" s="162">
        <v>2</v>
      </c>
      <c r="C41" s="162">
        <v>100</v>
      </c>
      <c r="D41" s="162">
        <v>12</v>
      </c>
      <c r="E41" s="42">
        <f t="shared" si="6"/>
        <v>4.024922359499621</v>
      </c>
      <c r="F41" s="42">
        <f t="shared" si="7"/>
        <v>0.8050971677549652</v>
      </c>
      <c r="G41" s="56">
        <f t="shared" si="8"/>
        <v>5.750398604108216</v>
      </c>
      <c r="H41" s="56">
        <f t="shared" si="0"/>
        <v>1.7999999999999998</v>
      </c>
      <c r="I41" s="56">
        <f t="shared" si="1"/>
        <v>5.750398604108216</v>
      </c>
      <c r="J41" s="57">
        <f t="shared" si="2"/>
        <v>6</v>
      </c>
      <c r="K41" s="60" t="s">
        <v>5</v>
      </c>
      <c r="L41" s="167">
        <v>12</v>
      </c>
      <c r="M41" s="61" t="str">
        <f t="shared" si="3"/>
        <v>safe</v>
      </c>
      <c r="N41" s="30">
        <v>0.826</v>
      </c>
      <c r="O41" s="39">
        <f t="shared" si="4"/>
        <v>0.8050971677549652</v>
      </c>
      <c r="P41" s="30" t="b">
        <f t="shared" si="5"/>
        <v>1</v>
      </c>
    </row>
    <row r="42" spans="1:16" ht="15" customHeight="1">
      <c r="A42" s="161">
        <v>30</v>
      </c>
      <c r="B42" s="162">
        <v>2</v>
      </c>
      <c r="C42" s="162">
        <v>100</v>
      </c>
      <c r="D42" s="162">
        <v>12</v>
      </c>
      <c r="E42" s="42">
        <f t="shared" si="6"/>
        <v>4.024922359499621</v>
      </c>
      <c r="F42" s="42">
        <f t="shared" si="7"/>
        <v>0.8050971677549652</v>
      </c>
      <c r="G42" s="56">
        <f t="shared" si="8"/>
        <v>5.750398604108216</v>
      </c>
      <c r="H42" s="56">
        <f t="shared" si="0"/>
        <v>1.7999999999999998</v>
      </c>
      <c r="I42" s="56">
        <f t="shared" si="1"/>
        <v>5.750398604108216</v>
      </c>
      <c r="J42" s="57">
        <f t="shared" si="2"/>
        <v>6</v>
      </c>
      <c r="K42" s="60" t="s">
        <v>5</v>
      </c>
      <c r="L42" s="167">
        <v>12</v>
      </c>
      <c r="M42" s="61" t="str">
        <f t="shared" si="3"/>
        <v>safe</v>
      </c>
      <c r="N42" s="30">
        <v>0.826</v>
      </c>
      <c r="O42" s="39">
        <f t="shared" si="4"/>
        <v>0.8050971677549652</v>
      </c>
      <c r="P42" s="30" t="b">
        <f t="shared" si="5"/>
        <v>1</v>
      </c>
    </row>
    <row r="43" spans="1:16" ht="15" customHeight="1">
      <c r="A43" s="161">
        <v>31</v>
      </c>
      <c r="B43" s="162">
        <v>2</v>
      </c>
      <c r="C43" s="162">
        <v>100</v>
      </c>
      <c r="D43" s="162">
        <v>12</v>
      </c>
      <c r="E43" s="42">
        <f t="shared" si="6"/>
        <v>4.024922359499621</v>
      </c>
      <c r="F43" s="42">
        <f t="shared" si="7"/>
        <v>0.8050971677549652</v>
      </c>
      <c r="G43" s="56">
        <f t="shared" si="8"/>
        <v>5.750398604108216</v>
      </c>
      <c r="H43" s="56">
        <f t="shared" si="0"/>
        <v>1.7999999999999998</v>
      </c>
      <c r="I43" s="56">
        <f t="shared" si="1"/>
        <v>5.750398604108216</v>
      </c>
      <c r="J43" s="57">
        <f t="shared" si="2"/>
        <v>6</v>
      </c>
      <c r="K43" s="60" t="s">
        <v>5</v>
      </c>
      <c r="L43" s="167">
        <v>12</v>
      </c>
      <c r="M43" s="61" t="str">
        <f t="shared" si="3"/>
        <v>safe</v>
      </c>
      <c r="N43" s="30">
        <v>0.826</v>
      </c>
      <c r="O43" s="39">
        <f t="shared" si="4"/>
        <v>0.8050971677549652</v>
      </c>
      <c r="P43" s="30" t="b">
        <f t="shared" si="5"/>
        <v>1</v>
      </c>
    </row>
    <row r="44" spans="1:16" ht="15" customHeight="1">
      <c r="A44" s="161">
        <v>32</v>
      </c>
      <c r="B44" s="162">
        <v>2</v>
      </c>
      <c r="C44" s="162">
        <v>100</v>
      </c>
      <c r="D44" s="162">
        <v>12</v>
      </c>
      <c r="E44" s="42">
        <f t="shared" si="6"/>
        <v>4.024922359499621</v>
      </c>
      <c r="F44" s="42">
        <f t="shared" si="7"/>
        <v>0.8050971677549652</v>
      </c>
      <c r="G44" s="56">
        <f t="shared" si="8"/>
        <v>5.750398604108216</v>
      </c>
      <c r="H44" s="56">
        <f t="shared" si="0"/>
        <v>1.7999999999999998</v>
      </c>
      <c r="I44" s="56">
        <f t="shared" si="1"/>
        <v>5.750398604108216</v>
      </c>
      <c r="J44" s="57">
        <f t="shared" si="2"/>
        <v>6</v>
      </c>
      <c r="K44" s="60" t="s">
        <v>5</v>
      </c>
      <c r="L44" s="167">
        <v>12</v>
      </c>
      <c r="M44" s="61" t="str">
        <f t="shared" si="3"/>
        <v>safe</v>
      </c>
      <c r="N44" s="30">
        <v>0.826</v>
      </c>
      <c r="O44" s="39">
        <f t="shared" si="4"/>
        <v>0.8050971677549652</v>
      </c>
      <c r="P44" s="30" t="b">
        <f t="shared" si="5"/>
        <v>1</v>
      </c>
    </row>
    <row r="45" spans="1:16" ht="15" customHeight="1">
      <c r="A45" s="161">
        <v>33</v>
      </c>
      <c r="B45" s="162">
        <v>2</v>
      </c>
      <c r="C45" s="162">
        <v>100</v>
      </c>
      <c r="D45" s="162">
        <v>12</v>
      </c>
      <c r="E45" s="42">
        <f t="shared" si="6"/>
        <v>4.024922359499621</v>
      </c>
      <c r="F45" s="42">
        <f t="shared" si="7"/>
        <v>0.8050971677549652</v>
      </c>
      <c r="G45" s="56">
        <f t="shared" si="8"/>
        <v>5.750398604108216</v>
      </c>
      <c r="H45" s="56">
        <f t="shared" si="0"/>
        <v>1.7999999999999998</v>
      </c>
      <c r="I45" s="56">
        <f t="shared" si="1"/>
        <v>5.750398604108216</v>
      </c>
      <c r="J45" s="57">
        <f t="shared" si="2"/>
        <v>6</v>
      </c>
      <c r="K45" s="60" t="s">
        <v>5</v>
      </c>
      <c r="L45" s="167">
        <v>12</v>
      </c>
      <c r="M45" s="61" t="str">
        <f t="shared" si="3"/>
        <v>safe</v>
      </c>
      <c r="N45" s="30">
        <v>0.826</v>
      </c>
      <c r="O45" s="39">
        <f t="shared" si="4"/>
        <v>0.8050971677549652</v>
      </c>
      <c r="P45" s="30" t="b">
        <f t="shared" si="5"/>
        <v>1</v>
      </c>
    </row>
    <row r="46" spans="1:16" ht="15" customHeight="1" thickBot="1">
      <c r="A46" s="163">
        <v>34</v>
      </c>
      <c r="B46" s="160">
        <v>2</v>
      </c>
      <c r="C46" s="160">
        <v>100</v>
      </c>
      <c r="D46" s="160">
        <v>12</v>
      </c>
      <c r="E46" s="37">
        <f t="shared" si="6"/>
        <v>4.024922359499621</v>
      </c>
      <c r="F46" s="37">
        <f t="shared" si="7"/>
        <v>0.8050971677549652</v>
      </c>
      <c r="G46" s="62">
        <f t="shared" si="8"/>
        <v>5.750398604108216</v>
      </c>
      <c r="H46" s="62">
        <f t="shared" si="0"/>
        <v>1.7999999999999998</v>
      </c>
      <c r="I46" s="62">
        <f t="shared" si="1"/>
        <v>5.750398604108216</v>
      </c>
      <c r="J46" s="63">
        <f t="shared" si="2"/>
        <v>6</v>
      </c>
      <c r="K46" s="64" t="s">
        <v>5</v>
      </c>
      <c r="L46" s="168">
        <v>12</v>
      </c>
      <c r="M46" s="65" t="str">
        <f t="shared" si="3"/>
        <v>safe</v>
      </c>
      <c r="N46" s="30">
        <v>0.826</v>
      </c>
      <c r="O46" s="39">
        <f t="shared" si="4"/>
        <v>0.8050971677549652</v>
      </c>
      <c r="P46" s="30" t="b">
        <f t="shared" si="5"/>
        <v>1</v>
      </c>
    </row>
  </sheetData>
  <sheetProtection sheet="1" objects="1" scenarios="1"/>
  <mergeCells count="6">
    <mergeCell ref="C4:M4"/>
    <mergeCell ref="A11:A12"/>
    <mergeCell ref="E11:E12"/>
    <mergeCell ref="F11:F12"/>
    <mergeCell ref="M11:M12"/>
    <mergeCell ref="J11:L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&amp;R&amp;"Arial,Bold Italic"&amp;9Concrete design using the ultimate limit design method.</oddHeader>
    <oddFooter>&amp;L&amp;"Arial,Bold Italic"&amp;9By: Eng. Mahmoud El-Kateb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C4" sqref="C4:M4"/>
    </sheetView>
  </sheetViews>
  <sheetFormatPr defaultColWidth="9.140625" defaultRowHeight="12.75"/>
  <cols>
    <col min="1" max="1" width="4.57421875" style="30" customWidth="1"/>
    <col min="2" max="2" width="15.8515625" style="30" customWidth="1"/>
    <col min="3" max="3" width="7.7109375" style="30" customWidth="1"/>
    <col min="4" max="4" width="7.421875" style="30" customWidth="1"/>
    <col min="5" max="5" width="6.57421875" style="30" customWidth="1"/>
    <col min="6" max="6" width="6.7109375" style="30" customWidth="1"/>
    <col min="7" max="7" width="5.57421875" style="30" customWidth="1"/>
    <col min="8" max="8" width="6.00390625" style="30" customWidth="1"/>
    <col min="9" max="9" width="5.57421875" style="30" customWidth="1"/>
    <col min="10" max="10" width="6.421875" style="30" customWidth="1"/>
    <col min="11" max="11" width="3.28125" style="30" customWidth="1"/>
    <col min="12" max="12" width="3.8515625" style="30" customWidth="1"/>
    <col min="13" max="13" width="7.140625" style="30" customWidth="1"/>
    <col min="14" max="16" width="9.140625" style="30" hidden="1" customWidth="1"/>
    <col min="17" max="16384" width="9.140625" style="30" customWidth="1"/>
  </cols>
  <sheetData>
    <row r="1" ht="22.5">
      <c r="A1" s="34" t="s">
        <v>185</v>
      </c>
    </row>
    <row r="4" spans="2:13" ht="18.75">
      <c r="B4" s="35" t="s">
        <v>33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ht="15.75">
      <c r="B5" s="36"/>
    </row>
    <row r="6" ht="13.5" thickBot="1"/>
    <row r="7" spans="2:4" ht="22.5" customHeight="1" thickTop="1">
      <c r="B7" s="52" t="s">
        <v>186</v>
      </c>
      <c r="C7" s="165">
        <v>225</v>
      </c>
      <c r="D7" s="53" t="s">
        <v>8</v>
      </c>
    </row>
    <row r="8" spans="2:4" ht="22.5" customHeight="1" thickBot="1">
      <c r="B8" s="54" t="s">
        <v>44</v>
      </c>
      <c r="C8" s="166">
        <v>3600</v>
      </c>
      <c r="D8" s="55" t="s">
        <v>8</v>
      </c>
    </row>
    <row r="9" spans="2:4" ht="15" customHeight="1" thickTop="1">
      <c r="B9" s="50"/>
      <c r="C9" s="40"/>
      <c r="D9" s="50"/>
    </row>
    <row r="10" spans="2:15" ht="15" customHeight="1">
      <c r="B10" s="27" t="s">
        <v>187</v>
      </c>
      <c r="C10" s="40"/>
      <c r="D10" s="66" t="s">
        <v>188</v>
      </c>
      <c r="F10" s="169">
        <v>6</v>
      </c>
      <c r="G10" s="30" t="s">
        <v>125</v>
      </c>
      <c r="H10" s="67" t="s">
        <v>189</v>
      </c>
      <c r="J10" s="170">
        <v>4.5</v>
      </c>
      <c r="K10" s="38" t="s">
        <v>125</v>
      </c>
      <c r="N10" s="30">
        <f>C15*J10*(F10-2/300*F12)^2/8</f>
        <v>29.810543749999994</v>
      </c>
      <c r="O10" s="30">
        <f>C15*F10*(J10-2/300*J12)^2/8</f>
        <v>21.39826666666666</v>
      </c>
    </row>
    <row r="11" spans="2:14" ht="15" customHeight="1">
      <c r="B11" s="27" t="s">
        <v>190</v>
      </c>
      <c r="C11" s="28"/>
      <c r="D11" s="27"/>
      <c r="E11" s="169">
        <v>1</v>
      </c>
      <c r="F11" s="68"/>
      <c r="N11" s="30" t="b">
        <f>E11=1</f>
        <v>1</v>
      </c>
    </row>
    <row r="12" spans="2:11" ht="15" customHeight="1">
      <c r="B12" s="27" t="s">
        <v>191</v>
      </c>
      <c r="D12" s="66" t="s">
        <v>188</v>
      </c>
      <c r="F12" s="169">
        <v>55</v>
      </c>
      <c r="G12" s="30" t="s">
        <v>78</v>
      </c>
      <c r="H12" s="67" t="s">
        <v>189</v>
      </c>
      <c r="J12" s="170">
        <v>55</v>
      </c>
      <c r="K12" s="38" t="s">
        <v>78</v>
      </c>
    </row>
    <row r="13" spans="2:15" ht="15" customHeight="1">
      <c r="B13" s="27" t="s">
        <v>192</v>
      </c>
      <c r="C13" s="171">
        <v>20</v>
      </c>
      <c r="D13" s="69" t="s">
        <v>78</v>
      </c>
      <c r="N13" s="30">
        <f>IF(N11,0.3,0.4)</f>
        <v>0.3</v>
      </c>
      <c r="O13" s="30">
        <f>IF(N11,0.2,0.1)</f>
        <v>0.2</v>
      </c>
    </row>
    <row r="14" spans="2:9" ht="17.25" customHeight="1">
      <c r="B14" s="27" t="s">
        <v>193</v>
      </c>
      <c r="C14" s="171">
        <v>300</v>
      </c>
      <c r="D14" s="69" t="s">
        <v>194</v>
      </c>
      <c r="F14" s="27" t="s">
        <v>195</v>
      </c>
      <c r="G14" s="29"/>
      <c r="H14" s="171">
        <v>200</v>
      </c>
      <c r="I14" s="69" t="s">
        <v>194</v>
      </c>
    </row>
    <row r="15" spans="2:4" ht="17.25" customHeight="1">
      <c r="B15" s="27" t="s">
        <v>200</v>
      </c>
      <c r="C15" s="172">
        <f>(C13/100*2.5+0.15+H14/1000)*1.4+C14/1000*1.6</f>
        <v>1.67</v>
      </c>
      <c r="D15" s="50" t="s">
        <v>196</v>
      </c>
    </row>
    <row r="16" spans="2:4" ht="15" customHeight="1">
      <c r="B16" s="50"/>
      <c r="C16" s="40"/>
      <c r="D16" s="50"/>
    </row>
    <row r="17" spans="2:11" ht="15" customHeight="1">
      <c r="B17" s="50" t="s">
        <v>188</v>
      </c>
      <c r="C17" s="40"/>
      <c r="D17" s="50"/>
      <c r="F17" s="70">
        <f>N13*N10</f>
        <v>8.943163124999998</v>
      </c>
      <c r="J17" s="71">
        <f>0.45*N10</f>
        <v>13.414744687499997</v>
      </c>
      <c r="K17" s="71"/>
    </row>
    <row r="18" spans="2:8" ht="15" customHeight="1">
      <c r="B18" s="50" t="s">
        <v>197</v>
      </c>
      <c r="C18" s="40"/>
      <c r="D18" s="72">
        <f>0.3*N10</f>
        <v>8.943163124999998</v>
      </c>
      <c r="H18" s="73">
        <f>0.25*N10</f>
        <v>7.452635937499998</v>
      </c>
    </row>
    <row r="19" spans="2:4" ht="15" customHeight="1">
      <c r="B19" s="50"/>
      <c r="C19" s="40"/>
      <c r="D19" s="50"/>
    </row>
    <row r="20" spans="2:11" ht="15">
      <c r="B20" s="50" t="s">
        <v>188</v>
      </c>
      <c r="C20" s="40"/>
      <c r="D20" s="50"/>
      <c r="F20" s="70">
        <f>O13*N10</f>
        <v>5.962108749999999</v>
      </c>
      <c r="J20" s="70">
        <f>0.15*N10</f>
        <v>4.471581562499999</v>
      </c>
      <c r="K20" s="70"/>
    </row>
    <row r="21" spans="2:8" ht="15">
      <c r="B21" s="50" t="s">
        <v>198</v>
      </c>
      <c r="C21" s="40"/>
      <c r="D21" s="72">
        <f>0.2*N10</f>
        <v>5.962108749999999</v>
      </c>
      <c r="H21" s="73">
        <f>0.15*N10</f>
        <v>4.471581562499999</v>
      </c>
    </row>
    <row r="22" spans="2:4" ht="15">
      <c r="B22" s="50"/>
      <c r="C22" s="40"/>
      <c r="D22" s="50"/>
    </row>
    <row r="23" spans="2:11" ht="15">
      <c r="B23" s="50" t="s">
        <v>199</v>
      </c>
      <c r="C23" s="40"/>
      <c r="D23" s="50"/>
      <c r="F23" s="70">
        <f>N13*O10</f>
        <v>6.419479999999998</v>
      </c>
      <c r="J23" s="70">
        <f>0.45*O10</f>
        <v>9.629219999999998</v>
      </c>
      <c r="K23" s="70"/>
    </row>
    <row r="24" spans="2:8" ht="15">
      <c r="B24" s="50" t="s">
        <v>197</v>
      </c>
      <c r="C24" s="40"/>
      <c r="D24" s="72">
        <f>0.3*O10</f>
        <v>6.419479999999998</v>
      </c>
      <c r="H24" s="73">
        <f>0.25*O10</f>
        <v>5.349566666666665</v>
      </c>
    </row>
    <row r="25" spans="2:4" ht="15">
      <c r="B25" s="50"/>
      <c r="C25" s="40"/>
      <c r="D25" s="50"/>
    </row>
    <row r="26" spans="2:11" ht="15">
      <c r="B26" s="50" t="s">
        <v>199</v>
      </c>
      <c r="C26" s="40"/>
      <c r="D26" s="50"/>
      <c r="F26" s="70">
        <f>O13*O10</f>
        <v>4.279653333333332</v>
      </c>
      <c r="J26" s="70">
        <f>0.15*O10</f>
        <v>3.209739999999999</v>
      </c>
      <c r="K26" s="70"/>
    </row>
    <row r="27" spans="2:8" ht="15">
      <c r="B27" s="50" t="s">
        <v>198</v>
      </c>
      <c r="C27" s="40"/>
      <c r="D27" s="72">
        <f>0.2*O10</f>
        <v>4.279653333333332</v>
      </c>
      <c r="H27" s="73">
        <f>0.15*O10</f>
        <v>3.209739999999999</v>
      </c>
    </row>
    <row r="28" spans="2:4" ht="15.75" thickBot="1">
      <c r="B28" s="50"/>
      <c r="C28" s="40"/>
      <c r="D28" s="50"/>
    </row>
    <row r="29" spans="1:13" ht="15" customHeight="1">
      <c r="A29" s="247" t="s">
        <v>10</v>
      </c>
      <c r="B29" s="6" t="s">
        <v>91</v>
      </c>
      <c r="C29" s="6" t="s">
        <v>6</v>
      </c>
      <c r="D29" s="6" t="s">
        <v>7</v>
      </c>
      <c r="E29" s="277" t="s">
        <v>0</v>
      </c>
      <c r="F29" s="277" t="s">
        <v>1</v>
      </c>
      <c r="G29" s="16" t="s">
        <v>2</v>
      </c>
      <c r="H29" s="16" t="s">
        <v>160</v>
      </c>
      <c r="I29" s="16" t="s">
        <v>12</v>
      </c>
      <c r="J29" s="281" t="s">
        <v>203</v>
      </c>
      <c r="K29" s="282"/>
      <c r="L29" s="283"/>
      <c r="M29" s="279" t="s">
        <v>13</v>
      </c>
    </row>
    <row r="30" spans="1:13" ht="17.25" customHeight="1" thickBot="1">
      <c r="A30" s="248"/>
      <c r="B30" s="8" t="s">
        <v>57</v>
      </c>
      <c r="C30" s="8" t="s">
        <v>3</v>
      </c>
      <c r="D30" s="8" t="s">
        <v>4</v>
      </c>
      <c r="E30" s="278"/>
      <c r="F30" s="278"/>
      <c r="G30" s="17" t="s">
        <v>184</v>
      </c>
      <c r="H30" s="17" t="s">
        <v>184</v>
      </c>
      <c r="I30" s="17" t="s">
        <v>2</v>
      </c>
      <c r="J30" s="284"/>
      <c r="K30" s="285"/>
      <c r="L30" s="286"/>
      <c r="M30" s="280"/>
    </row>
    <row r="31" spans="1:16" ht="15" customHeight="1">
      <c r="A31" s="161">
        <v>1</v>
      </c>
      <c r="B31" s="173">
        <f>D18</f>
        <v>8.943163124999998</v>
      </c>
      <c r="C31" s="74">
        <f>$J$10*100/2</f>
        <v>225</v>
      </c>
      <c r="D31" s="162">
        <v>18</v>
      </c>
      <c r="E31" s="42">
        <f>D31*($C$7*C31/B31/10^5)^0.5</f>
        <v>4.282619074592946</v>
      </c>
      <c r="F31" s="42">
        <f>MIN(N31:O31)</f>
        <v>0.8132474530510385</v>
      </c>
      <c r="G31" s="56">
        <f>B31*10^5/$C$8/F31/D31/C31*100</f>
        <v>7.542423546081703</v>
      </c>
      <c r="H31" s="56">
        <f>0.15/100*C31*D31</f>
        <v>6.075</v>
      </c>
      <c r="I31" s="56">
        <f>MAX(G31:H31)</f>
        <v>7.542423546081703</v>
      </c>
      <c r="J31" s="79">
        <f>INT(G31*400/3.14/L31^2)+1</f>
        <v>4</v>
      </c>
      <c r="K31" s="75" t="s">
        <v>5</v>
      </c>
      <c r="L31" s="167">
        <v>16</v>
      </c>
      <c r="M31" s="59" t="str">
        <f>IF(P31,"safe","unsafe")</f>
        <v>safe</v>
      </c>
      <c r="N31" s="30">
        <v>0.826</v>
      </c>
      <c r="O31" s="39">
        <f>0.5*(0.87+(0.7569-3.386/E31^2)^0.5)</f>
        <v>0.8132474530510385</v>
      </c>
      <c r="P31" s="30" t="b">
        <f>E31&gt;2.78</f>
        <v>1</v>
      </c>
    </row>
    <row r="32" spans="1:16" ht="15" customHeight="1">
      <c r="A32" s="161">
        <v>2</v>
      </c>
      <c r="B32" s="173">
        <f>F17</f>
        <v>8.943163124999998</v>
      </c>
      <c r="C32" s="74">
        <f aca="true" t="shared" si="0" ref="C32:C38">$J$10*100/2</f>
        <v>225</v>
      </c>
      <c r="D32" s="162">
        <v>18</v>
      </c>
      <c r="E32" s="42">
        <f>D32*($C$7*C32/B32/10^5)^0.5</f>
        <v>4.282619074592946</v>
      </c>
      <c r="F32" s="42">
        <f>MIN(N32:O32)</f>
        <v>0.8132474530510385</v>
      </c>
      <c r="G32" s="56">
        <f aca="true" t="shared" si="1" ref="G32:G46">B32*10^5/$C$8/F32/D32/C32*100</f>
        <v>7.542423546081703</v>
      </c>
      <c r="H32" s="56">
        <f aca="true" t="shared" si="2" ref="H32:H46">0.15/100*C32*D32</f>
        <v>6.075</v>
      </c>
      <c r="I32" s="56">
        <f aca="true" t="shared" si="3" ref="I32:I46">MAX(G32:H32)</f>
        <v>7.542423546081703</v>
      </c>
      <c r="J32" s="79">
        <f aca="true" t="shared" si="4" ref="J32:J46">INT(G32*400/3.14/L32^2)+1</f>
        <v>4</v>
      </c>
      <c r="K32" s="76" t="s">
        <v>5</v>
      </c>
      <c r="L32" s="167">
        <v>16</v>
      </c>
      <c r="M32" s="61" t="str">
        <f aca="true" t="shared" si="5" ref="M32:M46">IF(P32,"safe","unsafe")</f>
        <v>safe</v>
      </c>
      <c r="N32" s="30">
        <v>0.826</v>
      </c>
      <c r="O32" s="39">
        <f aca="true" t="shared" si="6" ref="O32:O46">0.5*(0.87+(0.7569-3.386/E32^2)^0.5)</f>
        <v>0.8132474530510385</v>
      </c>
      <c r="P32" s="30" t="b">
        <f aca="true" t="shared" si="7" ref="P32:P46">E32&gt;2.78</f>
        <v>1</v>
      </c>
    </row>
    <row r="33" spans="1:16" ht="15" customHeight="1">
      <c r="A33" s="161">
        <v>3</v>
      </c>
      <c r="B33" s="173">
        <f>H18</f>
        <v>7.452635937499998</v>
      </c>
      <c r="C33" s="74">
        <f t="shared" si="0"/>
        <v>225</v>
      </c>
      <c r="D33" s="162">
        <v>18</v>
      </c>
      <c r="E33" s="42">
        <f>D33*($C$7*C33/B33/10^5)^0.5</f>
        <v>4.6913741447129125</v>
      </c>
      <c r="F33" s="42">
        <f>MIN(N33:O33)</f>
        <v>0.8232826888359366</v>
      </c>
      <c r="G33" s="56">
        <f t="shared" si="1"/>
        <v>6.208738932022614</v>
      </c>
      <c r="H33" s="56">
        <f t="shared" si="2"/>
        <v>6.075</v>
      </c>
      <c r="I33" s="56">
        <f t="shared" si="3"/>
        <v>6.208738932022614</v>
      </c>
      <c r="J33" s="79">
        <f t="shared" si="4"/>
        <v>4</v>
      </c>
      <c r="K33" s="76" t="s">
        <v>5</v>
      </c>
      <c r="L33" s="167">
        <v>16</v>
      </c>
      <c r="M33" s="61" t="str">
        <f t="shared" si="5"/>
        <v>safe</v>
      </c>
      <c r="N33" s="30">
        <v>0.826</v>
      </c>
      <c r="O33" s="39">
        <f t="shared" si="6"/>
        <v>0.8232826888359366</v>
      </c>
      <c r="P33" s="30" t="b">
        <f t="shared" si="7"/>
        <v>1</v>
      </c>
    </row>
    <row r="34" spans="1:16" ht="15" customHeight="1">
      <c r="A34" s="161">
        <v>4</v>
      </c>
      <c r="B34" s="173">
        <f>J17</f>
        <v>13.414744687499997</v>
      </c>
      <c r="C34" s="74">
        <f t="shared" si="0"/>
        <v>225</v>
      </c>
      <c r="D34" s="162">
        <v>18</v>
      </c>
      <c r="E34" s="42">
        <f aca="true" t="shared" si="8" ref="E34:E46">D34*($C$7*C34/B34/10^5)^0.5</f>
        <v>3.496743831821003</v>
      </c>
      <c r="F34" s="42">
        <f aca="true" t="shared" si="9" ref="F34:F46">MIN(N34:O34)</f>
        <v>0.7814017950435541</v>
      </c>
      <c r="G34" s="56">
        <f t="shared" si="1"/>
        <v>11.774717138334513</v>
      </c>
      <c r="H34" s="56">
        <f t="shared" si="2"/>
        <v>6.075</v>
      </c>
      <c r="I34" s="56">
        <f t="shared" si="3"/>
        <v>11.774717138334513</v>
      </c>
      <c r="J34" s="79">
        <f t="shared" si="4"/>
        <v>6</v>
      </c>
      <c r="K34" s="76" t="s">
        <v>5</v>
      </c>
      <c r="L34" s="167">
        <v>16</v>
      </c>
      <c r="M34" s="61" t="str">
        <f t="shared" si="5"/>
        <v>safe</v>
      </c>
      <c r="N34" s="30">
        <v>0.826</v>
      </c>
      <c r="O34" s="39">
        <f t="shared" si="6"/>
        <v>0.7814017950435541</v>
      </c>
      <c r="P34" s="30" t="b">
        <f t="shared" si="7"/>
        <v>1</v>
      </c>
    </row>
    <row r="35" spans="1:16" ht="15" customHeight="1">
      <c r="A35" s="161">
        <v>5</v>
      </c>
      <c r="B35" s="173">
        <f>D21</f>
        <v>5.962108749999999</v>
      </c>
      <c r="C35" s="74">
        <f t="shared" si="0"/>
        <v>225</v>
      </c>
      <c r="D35" s="162">
        <v>18</v>
      </c>
      <c r="E35" s="42">
        <f t="shared" si="8"/>
        <v>5.245115747731504</v>
      </c>
      <c r="F35" s="42">
        <f t="shared" si="9"/>
        <v>0.826</v>
      </c>
      <c r="G35" s="56">
        <f t="shared" si="1"/>
        <v>4.950651120809626</v>
      </c>
      <c r="H35" s="56">
        <f t="shared" si="2"/>
        <v>6.075</v>
      </c>
      <c r="I35" s="56">
        <f t="shared" si="3"/>
        <v>6.075</v>
      </c>
      <c r="J35" s="79">
        <f t="shared" si="4"/>
        <v>5</v>
      </c>
      <c r="K35" s="76" t="s">
        <v>5</v>
      </c>
      <c r="L35" s="167">
        <v>12</v>
      </c>
      <c r="M35" s="61" t="str">
        <f t="shared" si="5"/>
        <v>safe</v>
      </c>
      <c r="N35" s="30">
        <v>0.826</v>
      </c>
      <c r="O35" s="39">
        <f t="shared" si="6"/>
        <v>0.8330650162470092</v>
      </c>
      <c r="P35" s="30" t="b">
        <f t="shared" si="7"/>
        <v>1</v>
      </c>
    </row>
    <row r="36" spans="1:16" ht="15" customHeight="1">
      <c r="A36" s="161">
        <v>6</v>
      </c>
      <c r="B36" s="173">
        <f>F20</f>
        <v>5.962108749999999</v>
      </c>
      <c r="C36" s="74">
        <f t="shared" si="0"/>
        <v>225</v>
      </c>
      <c r="D36" s="162">
        <v>18</v>
      </c>
      <c r="E36" s="42">
        <f t="shared" si="8"/>
        <v>5.245115747731504</v>
      </c>
      <c r="F36" s="42">
        <f t="shared" si="9"/>
        <v>0.826</v>
      </c>
      <c r="G36" s="56">
        <f t="shared" si="1"/>
        <v>4.950651120809626</v>
      </c>
      <c r="H36" s="56">
        <f t="shared" si="2"/>
        <v>6.075</v>
      </c>
      <c r="I36" s="56">
        <f t="shared" si="3"/>
        <v>6.075</v>
      </c>
      <c r="J36" s="79">
        <f t="shared" si="4"/>
        <v>5</v>
      </c>
      <c r="K36" s="76" t="s">
        <v>5</v>
      </c>
      <c r="L36" s="167">
        <v>12</v>
      </c>
      <c r="M36" s="61" t="str">
        <f t="shared" si="5"/>
        <v>safe</v>
      </c>
      <c r="N36" s="30">
        <v>0.826</v>
      </c>
      <c r="O36" s="39">
        <f t="shared" si="6"/>
        <v>0.8330650162470092</v>
      </c>
      <c r="P36" s="30" t="b">
        <f t="shared" si="7"/>
        <v>1</v>
      </c>
    </row>
    <row r="37" spans="1:16" ht="15" customHeight="1">
      <c r="A37" s="161">
        <v>7</v>
      </c>
      <c r="B37" s="173">
        <f>H21</f>
        <v>4.471581562499999</v>
      </c>
      <c r="C37" s="74">
        <f t="shared" si="0"/>
        <v>225</v>
      </c>
      <c r="D37" s="162">
        <v>18</v>
      </c>
      <c r="E37" s="42">
        <f t="shared" si="8"/>
        <v>6.056537977767058</v>
      </c>
      <c r="F37" s="42">
        <f t="shared" si="9"/>
        <v>0.826</v>
      </c>
      <c r="G37" s="56">
        <f t="shared" si="1"/>
        <v>3.71298834060722</v>
      </c>
      <c r="H37" s="56">
        <f t="shared" si="2"/>
        <v>6.075</v>
      </c>
      <c r="I37" s="56">
        <f t="shared" si="3"/>
        <v>6.075</v>
      </c>
      <c r="J37" s="79">
        <f t="shared" si="4"/>
        <v>4</v>
      </c>
      <c r="K37" s="76" t="s">
        <v>5</v>
      </c>
      <c r="L37" s="167">
        <v>12</v>
      </c>
      <c r="M37" s="61" t="str">
        <f t="shared" si="5"/>
        <v>safe</v>
      </c>
      <c r="N37" s="30">
        <v>0.826</v>
      </c>
      <c r="O37" s="39">
        <f t="shared" si="6"/>
        <v>0.8426126443939133</v>
      </c>
      <c r="P37" s="30" t="b">
        <f t="shared" si="7"/>
        <v>1</v>
      </c>
    </row>
    <row r="38" spans="1:16" ht="15" customHeight="1">
      <c r="A38" s="161">
        <v>8</v>
      </c>
      <c r="B38" s="173">
        <f>J20</f>
        <v>4.471581562499999</v>
      </c>
      <c r="C38" s="74">
        <f t="shared" si="0"/>
        <v>225</v>
      </c>
      <c r="D38" s="162">
        <v>18</v>
      </c>
      <c r="E38" s="42">
        <f t="shared" si="8"/>
        <v>6.056537977767058</v>
      </c>
      <c r="F38" s="42">
        <f t="shared" si="9"/>
        <v>0.826</v>
      </c>
      <c r="G38" s="56">
        <f t="shared" si="1"/>
        <v>3.71298834060722</v>
      </c>
      <c r="H38" s="56">
        <f t="shared" si="2"/>
        <v>6.075</v>
      </c>
      <c r="I38" s="56">
        <f t="shared" si="3"/>
        <v>6.075</v>
      </c>
      <c r="J38" s="79">
        <f t="shared" si="4"/>
        <v>4</v>
      </c>
      <c r="K38" s="76" t="s">
        <v>5</v>
      </c>
      <c r="L38" s="167">
        <v>12</v>
      </c>
      <c r="M38" s="61" t="str">
        <f t="shared" si="5"/>
        <v>safe</v>
      </c>
      <c r="N38" s="30">
        <v>0.826</v>
      </c>
      <c r="O38" s="39">
        <f t="shared" si="6"/>
        <v>0.8426126443939133</v>
      </c>
      <c r="P38" s="30" t="b">
        <f t="shared" si="7"/>
        <v>1</v>
      </c>
    </row>
    <row r="39" spans="1:16" ht="15" customHeight="1">
      <c r="A39" s="161">
        <v>9</v>
      </c>
      <c r="B39" s="173">
        <f>D24</f>
        <v>6.419479999999998</v>
      </c>
      <c r="C39" s="74">
        <f>$F$10*100/2</f>
        <v>300</v>
      </c>
      <c r="D39" s="162">
        <v>18</v>
      </c>
      <c r="E39" s="42">
        <f t="shared" si="8"/>
        <v>5.836795351662968</v>
      </c>
      <c r="F39" s="42">
        <f t="shared" si="9"/>
        <v>0.826</v>
      </c>
      <c r="G39" s="56">
        <f t="shared" si="1"/>
        <v>3.997822816090236</v>
      </c>
      <c r="H39" s="56">
        <f t="shared" si="2"/>
        <v>8.1</v>
      </c>
      <c r="I39" s="56">
        <f t="shared" si="3"/>
        <v>8.1</v>
      </c>
      <c r="J39" s="79">
        <f t="shared" si="4"/>
        <v>4</v>
      </c>
      <c r="K39" s="76" t="s">
        <v>5</v>
      </c>
      <c r="L39" s="167">
        <v>12</v>
      </c>
      <c r="M39" s="61" t="str">
        <f t="shared" si="5"/>
        <v>safe</v>
      </c>
      <c r="N39" s="30">
        <v>0.826</v>
      </c>
      <c r="O39" s="39">
        <f t="shared" si="6"/>
        <v>0.8404352811111027</v>
      </c>
      <c r="P39" s="30" t="b">
        <f t="shared" si="7"/>
        <v>1</v>
      </c>
    </row>
    <row r="40" spans="1:16" ht="15" customHeight="1">
      <c r="A40" s="161">
        <v>10</v>
      </c>
      <c r="B40" s="173">
        <f>F23</f>
        <v>6.419479999999998</v>
      </c>
      <c r="C40" s="74">
        <f aca="true" t="shared" si="10" ref="C40:C46">$F$10*100/2</f>
        <v>300</v>
      </c>
      <c r="D40" s="162">
        <v>18</v>
      </c>
      <c r="E40" s="42">
        <f t="shared" si="8"/>
        <v>5.836795351662968</v>
      </c>
      <c r="F40" s="42">
        <f t="shared" si="9"/>
        <v>0.826</v>
      </c>
      <c r="G40" s="56">
        <f t="shared" si="1"/>
        <v>3.997822816090236</v>
      </c>
      <c r="H40" s="56">
        <f t="shared" si="2"/>
        <v>8.1</v>
      </c>
      <c r="I40" s="56">
        <f t="shared" si="3"/>
        <v>8.1</v>
      </c>
      <c r="J40" s="79">
        <f t="shared" si="4"/>
        <v>4</v>
      </c>
      <c r="K40" s="76" t="s">
        <v>5</v>
      </c>
      <c r="L40" s="167">
        <v>12</v>
      </c>
      <c r="M40" s="61" t="str">
        <f t="shared" si="5"/>
        <v>safe</v>
      </c>
      <c r="N40" s="30">
        <v>0.826</v>
      </c>
      <c r="O40" s="39">
        <f t="shared" si="6"/>
        <v>0.8404352811111027</v>
      </c>
      <c r="P40" s="30" t="b">
        <f t="shared" si="7"/>
        <v>1</v>
      </c>
    </row>
    <row r="41" spans="1:16" ht="15" customHeight="1">
      <c r="A41" s="161">
        <v>11</v>
      </c>
      <c r="B41" s="173">
        <f>H24</f>
        <v>5.349566666666665</v>
      </c>
      <c r="C41" s="74">
        <f t="shared" si="10"/>
        <v>300</v>
      </c>
      <c r="D41" s="162">
        <v>18</v>
      </c>
      <c r="E41" s="42">
        <f t="shared" si="8"/>
        <v>6.393888955294212</v>
      </c>
      <c r="F41" s="42">
        <f t="shared" si="9"/>
        <v>0.826</v>
      </c>
      <c r="G41" s="56">
        <f t="shared" si="1"/>
        <v>3.3315190134085286</v>
      </c>
      <c r="H41" s="56">
        <f t="shared" si="2"/>
        <v>8.1</v>
      </c>
      <c r="I41" s="56">
        <f t="shared" si="3"/>
        <v>8.1</v>
      </c>
      <c r="J41" s="79">
        <f t="shared" si="4"/>
        <v>3</v>
      </c>
      <c r="K41" s="76" t="s">
        <v>5</v>
      </c>
      <c r="L41" s="167">
        <v>12</v>
      </c>
      <c r="M41" s="61" t="str">
        <f t="shared" si="5"/>
        <v>safe</v>
      </c>
      <c r="N41" s="30">
        <v>0.826</v>
      </c>
      <c r="O41" s="39">
        <f t="shared" si="6"/>
        <v>0.8455106242734354</v>
      </c>
      <c r="P41" s="30" t="b">
        <f t="shared" si="7"/>
        <v>1</v>
      </c>
    </row>
    <row r="42" spans="1:16" ht="15" customHeight="1">
      <c r="A42" s="161">
        <v>12</v>
      </c>
      <c r="B42" s="173">
        <f>J23</f>
        <v>9.629219999999998</v>
      </c>
      <c r="C42" s="74">
        <f t="shared" si="10"/>
        <v>300</v>
      </c>
      <c r="D42" s="162">
        <v>18</v>
      </c>
      <c r="E42" s="42">
        <f t="shared" si="8"/>
        <v>4.765723448207657</v>
      </c>
      <c r="F42" s="42">
        <f t="shared" si="9"/>
        <v>0.8248129689408219</v>
      </c>
      <c r="G42" s="56">
        <f t="shared" si="1"/>
        <v>6.005364434917351</v>
      </c>
      <c r="H42" s="56">
        <f t="shared" si="2"/>
        <v>8.1</v>
      </c>
      <c r="I42" s="56">
        <f t="shared" si="3"/>
        <v>8.1</v>
      </c>
      <c r="J42" s="79">
        <f t="shared" si="4"/>
        <v>6</v>
      </c>
      <c r="K42" s="76" t="s">
        <v>5</v>
      </c>
      <c r="L42" s="167">
        <v>12</v>
      </c>
      <c r="M42" s="61" t="str">
        <f t="shared" si="5"/>
        <v>safe</v>
      </c>
      <c r="N42" s="30">
        <v>0.826</v>
      </c>
      <c r="O42" s="39">
        <f t="shared" si="6"/>
        <v>0.8248129689408219</v>
      </c>
      <c r="P42" s="30" t="b">
        <f t="shared" si="7"/>
        <v>1</v>
      </c>
    </row>
    <row r="43" spans="1:16" ht="15" customHeight="1">
      <c r="A43" s="161">
        <v>13</v>
      </c>
      <c r="B43" s="173">
        <f>D27</f>
        <v>4.279653333333332</v>
      </c>
      <c r="C43" s="74">
        <f t="shared" si="10"/>
        <v>300</v>
      </c>
      <c r="D43" s="162">
        <v>18</v>
      </c>
      <c r="E43" s="42">
        <f t="shared" si="8"/>
        <v>7.148585172311486</v>
      </c>
      <c r="F43" s="42">
        <f t="shared" si="9"/>
        <v>0.826</v>
      </c>
      <c r="G43" s="56">
        <f t="shared" si="1"/>
        <v>2.665215210726824</v>
      </c>
      <c r="H43" s="56">
        <f t="shared" si="2"/>
        <v>8.1</v>
      </c>
      <c r="I43" s="56">
        <f t="shared" si="3"/>
        <v>8.1</v>
      </c>
      <c r="J43" s="79">
        <f t="shared" si="4"/>
        <v>3</v>
      </c>
      <c r="K43" s="76" t="s">
        <v>5</v>
      </c>
      <c r="L43" s="167">
        <v>12</v>
      </c>
      <c r="M43" s="61" t="str">
        <f t="shared" si="5"/>
        <v>safe</v>
      </c>
      <c r="N43" s="30">
        <v>0.826</v>
      </c>
      <c r="O43" s="39">
        <f t="shared" si="6"/>
        <v>0.850523980190184</v>
      </c>
      <c r="P43" s="30" t="b">
        <f t="shared" si="7"/>
        <v>1</v>
      </c>
    </row>
    <row r="44" spans="1:16" ht="15" customHeight="1">
      <c r="A44" s="161">
        <v>14</v>
      </c>
      <c r="B44" s="173">
        <f>F26</f>
        <v>4.279653333333332</v>
      </c>
      <c r="C44" s="74">
        <f t="shared" si="10"/>
        <v>300</v>
      </c>
      <c r="D44" s="162">
        <v>18</v>
      </c>
      <c r="E44" s="42">
        <f t="shared" si="8"/>
        <v>7.148585172311486</v>
      </c>
      <c r="F44" s="42">
        <f t="shared" si="9"/>
        <v>0.826</v>
      </c>
      <c r="G44" s="56">
        <f t="shared" si="1"/>
        <v>2.665215210726824</v>
      </c>
      <c r="H44" s="56">
        <f t="shared" si="2"/>
        <v>8.1</v>
      </c>
      <c r="I44" s="56">
        <f t="shared" si="3"/>
        <v>8.1</v>
      </c>
      <c r="J44" s="79">
        <f t="shared" si="4"/>
        <v>3</v>
      </c>
      <c r="K44" s="76" t="s">
        <v>5</v>
      </c>
      <c r="L44" s="167">
        <v>12</v>
      </c>
      <c r="M44" s="61" t="str">
        <f t="shared" si="5"/>
        <v>safe</v>
      </c>
      <c r="N44" s="30">
        <v>0.826</v>
      </c>
      <c r="O44" s="39">
        <f t="shared" si="6"/>
        <v>0.850523980190184</v>
      </c>
      <c r="P44" s="30" t="b">
        <f t="shared" si="7"/>
        <v>1</v>
      </c>
    </row>
    <row r="45" spans="1:16" ht="15" customHeight="1">
      <c r="A45" s="161">
        <v>15</v>
      </c>
      <c r="B45" s="173">
        <f>H27</f>
        <v>3.209739999999999</v>
      </c>
      <c r="C45" s="74">
        <f t="shared" si="10"/>
        <v>300</v>
      </c>
      <c r="D45" s="162">
        <v>18</v>
      </c>
      <c r="E45" s="42">
        <f t="shared" si="8"/>
        <v>8.254475147118008</v>
      </c>
      <c r="F45" s="42">
        <f t="shared" si="9"/>
        <v>0.826</v>
      </c>
      <c r="G45" s="56">
        <f t="shared" si="1"/>
        <v>1.998911408045118</v>
      </c>
      <c r="H45" s="56">
        <f t="shared" si="2"/>
        <v>8.1</v>
      </c>
      <c r="I45" s="56">
        <f t="shared" si="3"/>
        <v>8.1</v>
      </c>
      <c r="J45" s="79">
        <f t="shared" si="4"/>
        <v>2</v>
      </c>
      <c r="K45" s="76" t="s">
        <v>5</v>
      </c>
      <c r="L45" s="167">
        <v>12</v>
      </c>
      <c r="M45" s="61" t="str">
        <f t="shared" si="5"/>
        <v>safe</v>
      </c>
      <c r="N45" s="30">
        <v>0.826</v>
      </c>
      <c r="O45" s="39">
        <f t="shared" si="6"/>
        <v>0.8554775660898205</v>
      </c>
      <c r="P45" s="30" t="b">
        <f t="shared" si="7"/>
        <v>1</v>
      </c>
    </row>
    <row r="46" spans="1:16" ht="15" customHeight="1" thickBot="1">
      <c r="A46" s="163">
        <v>16</v>
      </c>
      <c r="B46" s="174">
        <f>J26</f>
        <v>3.209739999999999</v>
      </c>
      <c r="C46" s="77">
        <f t="shared" si="10"/>
        <v>300</v>
      </c>
      <c r="D46" s="160">
        <v>18</v>
      </c>
      <c r="E46" s="37">
        <f t="shared" si="8"/>
        <v>8.254475147118008</v>
      </c>
      <c r="F46" s="37">
        <f t="shared" si="9"/>
        <v>0.826</v>
      </c>
      <c r="G46" s="62">
        <f t="shared" si="1"/>
        <v>1.998911408045118</v>
      </c>
      <c r="H46" s="62">
        <f t="shared" si="2"/>
        <v>8.1</v>
      </c>
      <c r="I46" s="62">
        <f t="shared" si="3"/>
        <v>8.1</v>
      </c>
      <c r="J46" s="80">
        <f t="shared" si="4"/>
        <v>2</v>
      </c>
      <c r="K46" s="64" t="s">
        <v>5</v>
      </c>
      <c r="L46" s="175">
        <v>12</v>
      </c>
      <c r="M46" s="65" t="str">
        <f t="shared" si="5"/>
        <v>safe</v>
      </c>
      <c r="N46" s="30">
        <v>0.826</v>
      </c>
      <c r="O46" s="39">
        <f t="shared" si="6"/>
        <v>0.8554775660898205</v>
      </c>
      <c r="P46" s="30" t="b">
        <f t="shared" si="7"/>
        <v>1</v>
      </c>
    </row>
  </sheetData>
  <sheetProtection sheet="1" objects="1" scenarios="1"/>
  <mergeCells count="6">
    <mergeCell ref="C4:M4"/>
    <mergeCell ref="M29:M30"/>
    <mergeCell ref="A29:A30"/>
    <mergeCell ref="E29:E30"/>
    <mergeCell ref="F29:F30"/>
    <mergeCell ref="J29:L30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&amp;R&amp;"Arial,Bold Italic"&amp;9Concrete design using the ultimate limit design method.</oddHeader>
    <oddFooter>&amp;L&amp;"Arial,Bold Italic"&amp;9By: Eng. Mahmoud El-Kateb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4.57421875" style="30" customWidth="1"/>
    <col min="2" max="2" width="14.8515625" style="30" customWidth="1"/>
    <col min="3" max="3" width="7.7109375" style="30" customWidth="1"/>
    <col min="4" max="4" width="8.28125" style="30" customWidth="1"/>
    <col min="5" max="5" width="7.421875" style="30" customWidth="1"/>
    <col min="6" max="6" width="6.57421875" style="30" customWidth="1"/>
    <col min="7" max="7" width="6.7109375" style="30" customWidth="1"/>
    <col min="8" max="8" width="5.57421875" style="30" hidden="1" customWidth="1"/>
    <col min="9" max="9" width="6.7109375" style="30" customWidth="1"/>
    <col min="10" max="10" width="5.57421875" style="30" bestFit="1" customWidth="1"/>
    <col min="11" max="11" width="4.00390625" style="30" customWidth="1"/>
    <col min="12" max="12" width="2.8515625" style="30" customWidth="1"/>
    <col min="13" max="13" width="3.8515625" style="30" customWidth="1"/>
    <col min="14" max="14" width="7.421875" style="38" bestFit="1" customWidth="1"/>
    <col min="15" max="21" width="9.140625" style="30" hidden="1" customWidth="1"/>
    <col min="22" max="22" width="9.140625" style="30" customWidth="1"/>
    <col min="23" max="23" width="10.28125" style="30" customWidth="1"/>
    <col min="24" max="16384" width="9.140625" style="30" customWidth="1"/>
  </cols>
  <sheetData>
    <row r="1" ht="22.5">
      <c r="A1" s="34" t="s">
        <v>18</v>
      </c>
    </row>
    <row r="4" spans="2:14" ht="18.75">
      <c r="B4" s="35" t="s">
        <v>33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</row>
    <row r="5" ht="15.75">
      <c r="B5" s="36"/>
    </row>
    <row r="6" ht="13.5" thickBot="1">
      <c r="V6" s="51"/>
    </row>
    <row r="7" spans="2:4" ht="22.5" customHeight="1" thickTop="1">
      <c r="B7" s="52" t="s">
        <v>9</v>
      </c>
      <c r="C7" s="165">
        <v>300</v>
      </c>
      <c r="D7" s="53" t="s">
        <v>8</v>
      </c>
    </row>
    <row r="8" spans="2:4" ht="22.5" customHeight="1" thickBot="1">
      <c r="B8" s="54" t="s">
        <v>44</v>
      </c>
      <c r="C8" s="166">
        <v>3600</v>
      </c>
      <c r="D8" s="55" t="s">
        <v>8</v>
      </c>
    </row>
    <row r="9" spans="2:5" ht="15.75" thickTop="1">
      <c r="B9" s="50"/>
      <c r="C9" s="40"/>
      <c r="D9" s="40"/>
      <c r="E9" s="50"/>
    </row>
    <row r="10" ht="13.5" thickBot="1"/>
    <row r="11" spans="1:14" ht="15" customHeight="1">
      <c r="A11" s="247" t="s">
        <v>10</v>
      </c>
      <c r="B11" s="6" t="s">
        <v>91</v>
      </c>
      <c r="C11" s="6" t="s">
        <v>6</v>
      </c>
      <c r="D11" s="6" t="s">
        <v>163</v>
      </c>
      <c r="E11" s="6" t="s">
        <v>7</v>
      </c>
      <c r="F11" s="277" t="s">
        <v>0</v>
      </c>
      <c r="G11" s="277" t="s">
        <v>1</v>
      </c>
      <c r="H11" s="16"/>
      <c r="I11" s="16" t="s">
        <v>160</v>
      </c>
      <c r="J11" s="16" t="s">
        <v>12</v>
      </c>
      <c r="K11" s="281" t="s">
        <v>204</v>
      </c>
      <c r="L11" s="282"/>
      <c r="M11" s="283"/>
      <c r="N11" s="279" t="s">
        <v>13</v>
      </c>
    </row>
    <row r="12" spans="1:14" ht="17.25" customHeight="1" thickBot="1">
      <c r="A12" s="248"/>
      <c r="B12" s="8" t="s">
        <v>57</v>
      </c>
      <c r="C12" s="8" t="s">
        <v>3</v>
      </c>
      <c r="D12" s="8" t="s">
        <v>27</v>
      </c>
      <c r="E12" s="8" t="s">
        <v>4</v>
      </c>
      <c r="F12" s="278"/>
      <c r="G12" s="278"/>
      <c r="H12" s="17" t="s">
        <v>2</v>
      </c>
      <c r="I12" s="17" t="s">
        <v>184</v>
      </c>
      <c r="J12" s="17" t="s">
        <v>2</v>
      </c>
      <c r="K12" s="284"/>
      <c r="L12" s="285"/>
      <c r="M12" s="286"/>
      <c r="N12" s="280"/>
    </row>
    <row r="13" spans="1:21" ht="15" customHeight="1">
      <c r="A13" s="161">
        <v>1</v>
      </c>
      <c r="B13" s="162">
        <v>57</v>
      </c>
      <c r="C13" s="162">
        <v>25</v>
      </c>
      <c r="D13" s="162">
        <v>25</v>
      </c>
      <c r="E13" s="162">
        <v>100</v>
      </c>
      <c r="F13" s="42">
        <f>E13*($C$7*D13/B13/10^5)^0.5</f>
        <v>3.6273812505500582</v>
      </c>
      <c r="G13" s="42">
        <f>MIN(O13:P13)</f>
        <v>0.7883992076957729</v>
      </c>
      <c r="H13" s="56">
        <f>B13*10^5/$C$8/G13/E13</f>
        <v>20.082888438724932</v>
      </c>
      <c r="I13" s="56">
        <f>MAX(S13:T13)</f>
        <v>7.638888888888889</v>
      </c>
      <c r="J13" s="56">
        <f>MAX(H13:I13)</f>
        <v>20.082888438724932</v>
      </c>
      <c r="K13" s="57">
        <f>INT(J13*400/3.14/M13^2)+1</f>
        <v>5</v>
      </c>
      <c r="L13" s="75" t="s">
        <v>5</v>
      </c>
      <c r="M13" s="167">
        <v>25</v>
      </c>
      <c r="N13" s="59" t="str">
        <f>IF(U13,"safe","unsafe")</f>
        <v>safe</v>
      </c>
      <c r="O13" s="30">
        <v>0.826</v>
      </c>
      <c r="P13" s="39">
        <f>0.5*(0.87+(0.7569-3.386/F13^2)^0.5)</f>
        <v>0.7883992076957729</v>
      </c>
      <c r="Q13" s="30">
        <f>11/$C$8*C13*E13</f>
        <v>7.638888888888889</v>
      </c>
      <c r="R13" s="30">
        <f>1.33*H13</f>
        <v>26.71024162350416</v>
      </c>
      <c r="S13" s="30">
        <f>MIN(Q13:R13)</f>
        <v>7.638888888888889</v>
      </c>
      <c r="T13" s="30">
        <f>0.15/100*C13*E13</f>
        <v>3.75</v>
      </c>
      <c r="U13" s="30" t="b">
        <f>F13&gt;2.78</f>
        <v>1</v>
      </c>
    </row>
    <row r="14" spans="1:21" ht="15" customHeight="1">
      <c r="A14" s="161">
        <v>2</v>
      </c>
      <c r="B14" s="162">
        <v>77</v>
      </c>
      <c r="C14" s="162">
        <v>25</v>
      </c>
      <c r="D14" s="162">
        <v>25</v>
      </c>
      <c r="E14" s="162">
        <v>100</v>
      </c>
      <c r="F14" s="42">
        <f aca="true" t="shared" si="0" ref="F14:F46">E14*($C$7*D14/B14/10^5)^0.5</f>
        <v>3.1209389196617967</v>
      </c>
      <c r="G14" s="42">
        <f>MIN(O14:P14)</f>
        <v>0.7548713282972807</v>
      </c>
      <c r="H14" s="56">
        <f aca="true" t="shared" si="1" ref="H14:H46">B14*10^5/$C$8/G14/E14</f>
        <v>28.334483092813393</v>
      </c>
      <c r="I14" s="56">
        <f>MAX(S14:T14)</f>
        <v>7.638888888888889</v>
      </c>
      <c r="J14" s="56">
        <f>MAX(H14:I14)</f>
        <v>28.334483092813393</v>
      </c>
      <c r="K14" s="57">
        <f aca="true" t="shared" si="2" ref="K14:K46">INT(J14*400/3.14/M14^2)+1</f>
        <v>6</v>
      </c>
      <c r="L14" s="76" t="s">
        <v>5</v>
      </c>
      <c r="M14" s="167">
        <v>25</v>
      </c>
      <c r="N14" s="78" t="str">
        <f aca="true" t="shared" si="3" ref="N14:N46">IF(U14,"safe","unsafe")</f>
        <v>safe</v>
      </c>
      <c r="O14" s="30">
        <v>0.826</v>
      </c>
      <c r="P14" s="39">
        <f aca="true" t="shared" si="4" ref="P14:P46">0.5*(0.87+(0.7569-3.386/F14^2)^0.5)</f>
        <v>0.7548713282972807</v>
      </c>
      <c r="Q14" s="30">
        <f aca="true" t="shared" si="5" ref="Q14:Q46">11/$C$8*C14*E14</f>
        <v>7.638888888888889</v>
      </c>
      <c r="R14" s="30">
        <f aca="true" t="shared" si="6" ref="R14:R46">1.33*H14</f>
        <v>37.684862513441814</v>
      </c>
      <c r="S14" s="30">
        <f aca="true" t="shared" si="7" ref="S14:S46">MIN(Q14:R14)</f>
        <v>7.638888888888889</v>
      </c>
      <c r="T14" s="30">
        <f aca="true" t="shared" si="8" ref="T14:T46">0.15/100*C14*E14</f>
        <v>3.75</v>
      </c>
      <c r="U14" s="30" t="b">
        <f aca="true" t="shared" si="9" ref="U14:U46">F14&gt;2.78</f>
        <v>1</v>
      </c>
    </row>
    <row r="15" spans="1:21" ht="15" customHeight="1">
      <c r="A15" s="161">
        <v>3</v>
      </c>
      <c r="B15" s="162">
        <v>32</v>
      </c>
      <c r="C15" s="162">
        <v>25</v>
      </c>
      <c r="D15" s="162">
        <v>25</v>
      </c>
      <c r="E15" s="162">
        <v>100</v>
      </c>
      <c r="F15" s="42">
        <f t="shared" si="0"/>
        <v>4.841229182759271</v>
      </c>
      <c r="G15" s="42">
        <f>MIN(O15:P15)</f>
        <v>0.826</v>
      </c>
      <c r="H15" s="56">
        <f t="shared" si="1"/>
        <v>10.761366693570086</v>
      </c>
      <c r="I15" s="56">
        <f>MAX(S15:T15)</f>
        <v>7.638888888888889</v>
      </c>
      <c r="J15" s="56">
        <f>MAX(H15:I15)</f>
        <v>10.761366693570086</v>
      </c>
      <c r="K15" s="57">
        <f t="shared" si="2"/>
        <v>3</v>
      </c>
      <c r="L15" s="76" t="s">
        <v>5</v>
      </c>
      <c r="M15" s="167">
        <v>25</v>
      </c>
      <c r="N15" s="78" t="str">
        <f t="shared" si="3"/>
        <v>safe</v>
      </c>
      <c r="O15" s="30">
        <v>0.826</v>
      </c>
      <c r="P15" s="39">
        <f t="shared" si="4"/>
        <v>0.8262897477147423</v>
      </c>
      <c r="Q15" s="30">
        <f t="shared" si="5"/>
        <v>7.638888888888889</v>
      </c>
      <c r="R15" s="30">
        <f t="shared" si="6"/>
        <v>14.312617702448215</v>
      </c>
      <c r="S15" s="30">
        <f t="shared" si="7"/>
        <v>7.638888888888889</v>
      </c>
      <c r="T15" s="30">
        <f t="shared" si="8"/>
        <v>3.75</v>
      </c>
      <c r="U15" s="30" t="b">
        <f t="shared" si="9"/>
        <v>1</v>
      </c>
    </row>
    <row r="16" spans="1:21" ht="15" customHeight="1">
      <c r="A16" s="161">
        <v>4</v>
      </c>
      <c r="B16" s="162">
        <v>55.42</v>
      </c>
      <c r="C16" s="162">
        <v>25</v>
      </c>
      <c r="D16" s="162">
        <v>25</v>
      </c>
      <c r="E16" s="162">
        <v>100</v>
      </c>
      <c r="F16" s="42">
        <f t="shared" si="0"/>
        <v>3.678725400215578</v>
      </c>
      <c r="G16" s="42">
        <f aca="true" t="shared" si="10" ref="G16:G46">MIN(O16:P16)</f>
        <v>0.790913322781451</v>
      </c>
      <c r="H16" s="56">
        <f t="shared" si="1"/>
        <v>19.464135956524164</v>
      </c>
      <c r="I16" s="56">
        <f aca="true" t="shared" si="11" ref="I16:I46">MAX(S16:T16)</f>
        <v>7.638888888888889</v>
      </c>
      <c r="J16" s="56">
        <f aca="true" t="shared" si="12" ref="J16:J46">MAX(H16:I16)</f>
        <v>19.464135956524164</v>
      </c>
      <c r="K16" s="57">
        <f t="shared" si="2"/>
        <v>4</v>
      </c>
      <c r="L16" s="76" t="s">
        <v>5</v>
      </c>
      <c r="M16" s="167">
        <v>25</v>
      </c>
      <c r="N16" s="78" t="str">
        <f t="shared" si="3"/>
        <v>safe</v>
      </c>
      <c r="O16" s="30">
        <v>0.826</v>
      </c>
      <c r="P16" s="39">
        <f t="shared" si="4"/>
        <v>0.790913322781451</v>
      </c>
      <c r="Q16" s="30">
        <f t="shared" si="5"/>
        <v>7.638888888888889</v>
      </c>
      <c r="R16" s="30">
        <f t="shared" si="6"/>
        <v>25.88730082217714</v>
      </c>
      <c r="S16" s="30">
        <f t="shared" si="7"/>
        <v>7.638888888888889</v>
      </c>
      <c r="T16" s="30">
        <f t="shared" si="8"/>
        <v>3.75</v>
      </c>
      <c r="U16" s="30" t="b">
        <f t="shared" si="9"/>
        <v>1</v>
      </c>
    </row>
    <row r="17" spans="1:21" ht="15" customHeight="1">
      <c r="A17" s="161">
        <v>5</v>
      </c>
      <c r="B17" s="162">
        <v>78.3</v>
      </c>
      <c r="C17" s="162">
        <v>25</v>
      </c>
      <c r="D17" s="162">
        <v>25</v>
      </c>
      <c r="E17" s="162">
        <v>100</v>
      </c>
      <c r="F17" s="42">
        <f t="shared" si="0"/>
        <v>3.0949223029508643</v>
      </c>
      <c r="G17" s="42">
        <f t="shared" si="10"/>
        <v>0.7525695199479949</v>
      </c>
      <c r="H17" s="56">
        <f t="shared" si="1"/>
        <v>28.900984458556064</v>
      </c>
      <c r="I17" s="56">
        <f t="shared" si="11"/>
        <v>7.638888888888889</v>
      </c>
      <c r="J17" s="56">
        <f t="shared" si="12"/>
        <v>28.900984458556064</v>
      </c>
      <c r="K17" s="57">
        <f t="shared" si="2"/>
        <v>6</v>
      </c>
      <c r="L17" s="76" t="s">
        <v>5</v>
      </c>
      <c r="M17" s="167">
        <v>25</v>
      </c>
      <c r="N17" s="78" t="str">
        <f t="shared" si="3"/>
        <v>safe</v>
      </c>
      <c r="O17" s="30">
        <v>0.826</v>
      </c>
      <c r="P17" s="39">
        <f t="shared" si="4"/>
        <v>0.7525695199479949</v>
      </c>
      <c r="Q17" s="30">
        <f t="shared" si="5"/>
        <v>7.638888888888889</v>
      </c>
      <c r="R17" s="30">
        <f t="shared" si="6"/>
        <v>38.438309329879566</v>
      </c>
      <c r="S17" s="30">
        <f t="shared" si="7"/>
        <v>7.638888888888889</v>
      </c>
      <c r="T17" s="30">
        <f t="shared" si="8"/>
        <v>3.75</v>
      </c>
      <c r="U17" s="30" t="b">
        <f t="shared" si="9"/>
        <v>1</v>
      </c>
    </row>
    <row r="18" spans="1:21" ht="15" customHeight="1">
      <c r="A18" s="161">
        <v>6</v>
      </c>
      <c r="B18" s="162">
        <v>31.67</v>
      </c>
      <c r="C18" s="162">
        <v>25</v>
      </c>
      <c r="D18" s="162">
        <v>25</v>
      </c>
      <c r="E18" s="162">
        <v>100</v>
      </c>
      <c r="F18" s="42">
        <f t="shared" si="0"/>
        <v>4.866386515056613</v>
      </c>
      <c r="G18" s="42">
        <f t="shared" si="10"/>
        <v>0.826</v>
      </c>
      <c r="H18" s="56">
        <f t="shared" si="1"/>
        <v>10.650390099542642</v>
      </c>
      <c r="I18" s="56">
        <f t="shared" si="11"/>
        <v>7.638888888888889</v>
      </c>
      <c r="J18" s="56">
        <f t="shared" si="12"/>
        <v>10.650390099542642</v>
      </c>
      <c r="K18" s="57">
        <f t="shared" si="2"/>
        <v>5</v>
      </c>
      <c r="L18" s="76" t="s">
        <v>5</v>
      </c>
      <c r="M18" s="167">
        <v>18</v>
      </c>
      <c r="N18" s="78" t="str">
        <f t="shared" si="3"/>
        <v>safe</v>
      </c>
      <c r="O18" s="30">
        <v>0.826</v>
      </c>
      <c r="P18" s="39">
        <f t="shared" si="4"/>
        <v>0.8267653974851106</v>
      </c>
      <c r="Q18" s="30">
        <f t="shared" si="5"/>
        <v>7.638888888888889</v>
      </c>
      <c r="R18" s="30">
        <f t="shared" si="6"/>
        <v>14.165018832391715</v>
      </c>
      <c r="S18" s="30">
        <f t="shared" si="7"/>
        <v>7.638888888888889</v>
      </c>
      <c r="T18" s="30">
        <f t="shared" si="8"/>
        <v>3.75</v>
      </c>
      <c r="U18" s="30" t="b">
        <f t="shared" si="9"/>
        <v>1</v>
      </c>
    </row>
    <row r="19" spans="1:21" ht="15" customHeight="1">
      <c r="A19" s="161">
        <v>7</v>
      </c>
      <c r="B19" s="162">
        <v>44</v>
      </c>
      <c r="C19" s="162">
        <v>25</v>
      </c>
      <c r="D19" s="162">
        <v>25</v>
      </c>
      <c r="E19" s="162">
        <v>100</v>
      </c>
      <c r="F19" s="42">
        <f t="shared" si="0"/>
        <v>4.128614119223852</v>
      </c>
      <c r="G19" s="42">
        <f t="shared" si="10"/>
        <v>0.8085822087127098</v>
      </c>
      <c r="H19" s="56">
        <f t="shared" si="1"/>
        <v>15.115621009866656</v>
      </c>
      <c r="I19" s="56">
        <f t="shared" si="11"/>
        <v>7.638888888888889</v>
      </c>
      <c r="J19" s="56">
        <f t="shared" si="12"/>
        <v>15.115621009866656</v>
      </c>
      <c r="K19" s="57">
        <f t="shared" si="2"/>
        <v>6</v>
      </c>
      <c r="L19" s="76" t="s">
        <v>5</v>
      </c>
      <c r="M19" s="167">
        <v>18</v>
      </c>
      <c r="N19" s="78" t="str">
        <f t="shared" si="3"/>
        <v>safe</v>
      </c>
      <c r="O19" s="30">
        <v>0.826</v>
      </c>
      <c r="P19" s="39">
        <f t="shared" si="4"/>
        <v>0.8085822087127098</v>
      </c>
      <c r="Q19" s="30">
        <f t="shared" si="5"/>
        <v>7.638888888888889</v>
      </c>
      <c r="R19" s="30">
        <f t="shared" si="6"/>
        <v>20.103775943122653</v>
      </c>
      <c r="S19" s="30">
        <f t="shared" si="7"/>
        <v>7.638888888888889</v>
      </c>
      <c r="T19" s="30">
        <f t="shared" si="8"/>
        <v>3.75</v>
      </c>
      <c r="U19" s="30" t="b">
        <f t="shared" si="9"/>
        <v>1</v>
      </c>
    </row>
    <row r="20" spans="1:21" ht="15" customHeight="1">
      <c r="A20" s="161">
        <v>8</v>
      </c>
      <c r="B20" s="162">
        <v>10.5</v>
      </c>
      <c r="C20" s="162">
        <v>25</v>
      </c>
      <c r="D20" s="162">
        <v>25</v>
      </c>
      <c r="E20" s="162">
        <v>100</v>
      </c>
      <c r="F20" s="42">
        <f t="shared" si="0"/>
        <v>8.451542547285166</v>
      </c>
      <c r="G20" s="42">
        <f t="shared" si="10"/>
        <v>0.826</v>
      </c>
      <c r="H20" s="56">
        <f t="shared" si="1"/>
        <v>3.531073446327684</v>
      </c>
      <c r="I20" s="56">
        <f t="shared" si="11"/>
        <v>4.69632768361582</v>
      </c>
      <c r="J20" s="56">
        <f t="shared" si="12"/>
        <v>4.69632768361582</v>
      </c>
      <c r="K20" s="57">
        <f t="shared" si="2"/>
        <v>3</v>
      </c>
      <c r="L20" s="76" t="s">
        <v>5</v>
      </c>
      <c r="M20" s="167">
        <v>16</v>
      </c>
      <c r="N20" s="78" t="str">
        <f t="shared" si="3"/>
        <v>safe</v>
      </c>
      <c r="O20" s="30">
        <v>0.826</v>
      </c>
      <c r="P20" s="39">
        <f t="shared" si="4"/>
        <v>0.856157927623356</v>
      </c>
      <c r="Q20" s="30">
        <f t="shared" si="5"/>
        <v>7.638888888888889</v>
      </c>
      <c r="R20" s="30">
        <f t="shared" si="6"/>
        <v>4.69632768361582</v>
      </c>
      <c r="S20" s="30">
        <f t="shared" si="7"/>
        <v>4.69632768361582</v>
      </c>
      <c r="T20" s="30">
        <f t="shared" si="8"/>
        <v>3.75</v>
      </c>
      <c r="U20" s="30" t="b">
        <f t="shared" si="9"/>
        <v>1</v>
      </c>
    </row>
    <row r="21" spans="1:21" ht="15" customHeight="1">
      <c r="A21" s="161">
        <v>9</v>
      </c>
      <c r="B21" s="162">
        <v>70.66</v>
      </c>
      <c r="C21" s="162">
        <v>25</v>
      </c>
      <c r="D21" s="162">
        <v>25</v>
      </c>
      <c r="E21" s="162">
        <v>125</v>
      </c>
      <c r="F21" s="42">
        <f t="shared" si="0"/>
        <v>4.072431876277772</v>
      </c>
      <c r="G21" s="42">
        <f t="shared" si="10"/>
        <v>0.8067310647946084</v>
      </c>
      <c r="H21" s="56">
        <f t="shared" si="1"/>
        <v>19.464010879784286</v>
      </c>
      <c r="I21" s="56">
        <f t="shared" si="11"/>
        <v>9.548611111111112</v>
      </c>
      <c r="J21" s="56">
        <f t="shared" si="12"/>
        <v>19.464010879784286</v>
      </c>
      <c r="K21" s="57">
        <f t="shared" si="2"/>
        <v>4</v>
      </c>
      <c r="L21" s="76" t="s">
        <v>5</v>
      </c>
      <c r="M21" s="167">
        <v>25</v>
      </c>
      <c r="N21" s="78" t="str">
        <f t="shared" si="3"/>
        <v>safe</v>
      </c>
      <c r="O21" s="30">
        <v>0.826</v>
      </c>
      <c r="P21" s="39">
        <f t="shared" si="4"/>
        <v>0.8067310647946084</v>
      </c>
      <c r="Q21" s="30">
        <f t="shared" si="5"/>
        <v>9.548611111111112</v>
      </c>
      <c r="R21" s="30">
        <f t="shared" si="6"/>
        <v>25.887134470113104</v>
      </c>
      <c r="S21" s="30">
        <f t="shared" si="7"/>
        <v>9.548611111111112</v>
      </c>
      <c r="T21" s="30">
        <f t="shared" si="8"/>
        <v>4.6875</v>
      </c>
      <c r="U21" s="30" t="b">
        <f t="shared" si="9"/>
        <v>1</v>
      </c>
    </row>
    <row r="22" spans="1:21" ht="15" customHeight="1">
      <c r="A22" s="161">
        <v>10</v>
      </c>
      <c r="B22" s="162">
        <v>85</v>
      </c>
      <c r="C22" s="162">
        <v>25</v>
      </c>
      <c r="D22" s="162">
        <v>25</v>
      </c>
      <c r="E22" s="162">
        <v>125</v>
      </c>
      <c r="F22" s="42">
        <f t="shared" si="0"/>
        <v>3.7130532861625287</v>
      </c>
      <c r="G22" s="42">
        <f t="shared" si="10"/>
        <v>0.7925269686797534</v>
      </c>
      <c r="H22" s="56">
        <f t="shared" si="1"/>
        <v>23.83374905254684</v>
      </c>
      <c r="I22" s="56">
        <f t="shared" si="11"/>
        <v>9.548611111111112</v>
      </c>
      <c r="J22" s="56">
        <f t="shared" si="12"/>
        <v>23.83374905254684</v>
      </c>
      <c r="K22" s="57">
        <f t="shared" si="2"/>
        <v>5</v>
      </c>
      <c r="L22" s="76" t="s">
        <v>5</v>
      </c>
      <c r="M22" s="167">
        <v>25</v>
      </c>
      <c r="N22" s="78" t="str">
        <f t="shared" si="3"/>
        <v>safe</v>
      </c>
      <c r="O22" s="30">
        <v>0.826</v>
      </c>
      <c r="P22" s="39">
        <f t="shared" si="4"/>
        <v>0.7925269686797534</v>
      </c>
      <c r="Q22" s="30">
        <f t="shared" si="5"/>
        <v>9.548611111111112</v>
      </c>
      <c r="R22" s="30">
        <f t="shared" si="6"/>
        <v>31.698886239887297</v>
      </c>
      <c r="S22" s="30">
        <f t="shared" si="7"/>
        <v>9.548611111111112</v>
      </c>
      <c r="T22" s="30">
        <f t="shared" si="8"/>
        <v>4.6875</v>
      </c>
      <c r="U22" s="30" t="b">
        <f t="shared" si="9"/>
        <v>1</v>
      </c>
    </row>
    <row r="23" spans="1:21" ht="15" customHeight="1">
      <c r="A23" s="161">
        <v>11</v>
      </c>
      <c r="B23" s="162">
        <v>15</v>
      </c>
      <c r="C23" s="162">
        <v>25</v>
      </c>
      <c r="D23" s="162">
        <v>25</v>
      </c>
      <c r="E23" s="162">
        <v>65</v>
      </c>
      <c r="F23" s="42">
        <f t="shared" si="0"/>
        <v>4.596194077712559</v>
      </c>
      <c r="G23" s="42">
        <f t="shared" si="10"/>
        <v>0.8212046013227189</v>
      </c>
      <c r="H23" s="56">
        <f t="shared" si="1"/>
        <v>7.805918768515634</v>
      </c>
      <c r="I23" s="56">
        <f t="shared" si="11"/>
        <v>4.965277777777779</v>
      </c>
      <c r="J23" s="56">
        <f t="shared" si="12"/>
        <v>7.805918768515634</v>
      </c>
      <c r="K23" s="57">
        <f t="shared" si="2"/>
        <v>4</v>
      </c>
      <c r="L23" s="76" t="s">
        <v>5</v>
      </c>
      <c r="M23" s="167">
        <v>16</v>
      </c>
      <c r="N23" s="78" t="str">
        <f t="shared" si="3"/>
        <v>safe</v>
      </c>
      <c r="O23" s="30">
        <v>0.826</v>
      </c>
      <c r="P23" s="39">
        <f t="shared" si="4"/>
        <v>0.8212046013227189</v>
      </c>
      <c r="Q23" s="30">
        <f t="shared" si="5"/>
        <v>4.965277777777779</v>
      </c>
      <c r="R23" s="30">
        <f t="shared" si="6"/>
        <v>10.381871962125794</v>
      </c>
      <c r="S23" s="30">
        <f t="shared" si="7"/>
        <v>4.965277777777779</v>
      </c>
      <c r="T23" s="30">
        <f t="shared" si="8"/>
        <v>2.4375</v>
      </c>
      <c r="U23" s="30" t="b">
        <f t="shared" si="9"/>
        <v>1</v>
      </c>
    </row>
    <row r="24" spans="1:21" ht="15" customHeight="1">
      <c r="A24" s="161">
        <v>12</v>
      </c>
      <c r="B24" s="162">
        <v>15</v>
      </c>
      <c r="C24" s="162">
        <v>25</v>
      </c>
      <c r="D24" s="162">
        <v>25</v>
      </c>
      <c r="E24" s="162">
        <v>65</v>
      </c>
      <c r="F24" s="42">
        <f t="shared" si="0"/>
        <v>4.596194077712559</v>
      </c>
      <c r="G24" s="42">
        <f t="shared" si="10"/>
        <v>0.8212046013227189</v>
      </c>
      <c r="H24" s="56">
        <f t="shared" si="1"/>
        <v>7.805918768515634</v>
      </c>
      <c r="I24" s="56">
        <f t="shared" si="11"/>
        <v>4.965277777777779</v>
      </c>
      <c r="J24" s="56">
        <f t="shared" si="12"/>
        <v>7.805918768515634</v>
      </c>
      <c r="K24" s="57">
        <f t="shared" si="2"/>
        <v>4</v>
      </c>
      <c r="L24" s="76" t="s">
        <v>5</v>
      </c>
      <c r="M24" s="167">
        <v>16</v>
      </c>
      <c r="N24" s="78" t="str">
        <f t="shared" si="3"/>
        <v>safe</v>
      </c>
      <c r="O24" s="30">
        <v>0.826</v>
      </c>
      <c r="P24" s="39">
        <f t="shared" si="4"/>
        <v>0.8212046013227189</v>
      </c>
      <c r="Q24" s="30">
        <f t="shared" si="5"/>
        <v>4.965277777777779</v>
      </c>
      <c r="R24" s="30">
        <f t="shared" si="6"/>
        <v>10.381871962125794</v>
      </c>
      <c r="S24" s="30">
        <f t="shared" si="7"/>
        <v>4.965277777777779</v>
      </c>
      <c r="T24" s="30">
        <f t="shared" si="8"/>
        <v>2.4375</v>
      </c>
      <c r="U24" s="30" t="b">
        <f t="shared" si="9"/>
        <v>1</v>
      </c>
    </row>
    <row r="25" spans="1:21" ht="15" customHeight="1">
      <c r="A25" s="161">
        <v>13</v>
      </c>
      <c r="B25" s="162">
        <v>15</v>
      </c>
      <c r="C25" s="162">
        <v>25</v>
      </c>
      <c r="D25" s="162">
        <v>25</v>
      </c>
      <c r="E25" s="162">
        <v>65</v>
      </c>
      <c r="F25" s="42">
        <f t="shared" si="0"/>
        <v>4.596194077712559</v>
      </c>
      <c r="G25" s="42">
        <f t="shared" si="10"/>
        <v>0.8212046013227189</v>
      </c>
      <c r="H25" s="56">
        <f t="shared" si="1"/>
        <v>7.805918768515634</v>
      </c>
      <c r="I25" s="56">
        <f t="shared" si="11"/>
        <v>4.965277777777779</v>
      </c>
      <c r="J25" s="56">
        <f t="shared" si="12"/>
        <v>7.805918768515634</v>
      </c>
      <c r="K25" s="57">
        <f t="shared" si="2"/>
        <v>4</v>
      </c>
      <c r="L25" s="76" t="s">
        <v>5</v>
      </c>
      <c r="M25" s="167">
        <v>16</v>
      </c>
      <c r="N25" s="78" t="str">
        <f t="shared" si="3"/>
        <v>safe</v>
      </c>
      <c r="O25" s="30">
        <v>0.826</v>
      </c>
      <c r="P25" s="39">
        <f t="shared" si="4"/>
        <v>0.8212046013227189</v>
      </c>
      <c r="Q25" s="30">
        <f t="shared" si="5"/>
        <v>4.965277777777779</v>
      </c>
      <c r="R25" s="30">
        <f t="shared" si="6"/>
        <v>10.381871962125794</v>
      </c>
      <c r="S25" s="30">
        <f t="shared" si="7"/>
        <v>4.965277777777779</v>
      </c>
      <c r="T25" s="30">
        <f t="shared" si="8"/>
        <v>2.4375</v>
      </c>
      <c r="U25" s="30" t="b">
        <f t="shared" si="9"/>
        <v>1</v>
      </c>
    </row>
    <row r="26" spans="1:21" ht="15" customHeight="1">
      <c r="A26" s="161">
        <v>14</v>
      </c>
      <c r="B26" s="162">
        <v>15</v>
      </c>
      <c r="C26" s="162">
        <v>25</v>
      </c>
      <c r="D26" s="162">
        <v>25</v>
      </c>
      <c r="E26" s="162">
        <v>65</v>
      </c>
      <c r="F26" s="42">
        <f t="shared" si="0"/>
        <v>4.596194077712559</v>
      </c>
      <c r="G26" s="42">
        <f t="shared" si="10"/>
        <v>0.8212046013227189</v>
      </c>
      <c r="H26" s="56">
        <f t="shared" si="1"/>
        <v>7.805918768515634</v>
      </c>
      <c r="I26" s="56">
        <f t="shared" si="11"/>
        <v>4.965277777777779</v>
      </c>
      <c r="J26" s="56">
        <f t="shared" si="12"/>
        <v>7.805918768515634</v>
      </c>
      <c r="K26" s="57">
        <f t="shared" si="2"/>
        <v>4</v>
      </c>
      <c r="L26" s="76" t="s">
        <v>5</v>
      </c>
      <c r="M26" s="167">
        <v>16</v>
      </c>
      <c r="N26" s="78" t="str">
        <f t="shared" si="3"/>
        <v>safe</v>
      </c>
      <c r="O26" s="30">
        <v>0.826</v>
      </c>
      <c r="P26" s="39">
        <f t="shared" si="4"/>
        <v>0.8212046013227189</v>
      </c>
      <c r="Q26" s="30">
        <f t="shared" si="5"/>
        <v>4.965277777777779</v>
      </c>
      <c r="R26" s="30">
        <f t="shared" si="6"/>
        <v>10.381871962125794</v>
      </c>
      <c r="S26" s="30">
        <f t="shared" si="7"/>
        <v>4.965277777777779</v>
      </c>
      <c r="T26" s="30">
        <f t="shared" si="8"/>
        <v>2.4375</v>
      </c>
      <c r="U26" s="30" t="b">
        <f t="shared" si="9"/>
        <v>1</v>
      </c>
    </row>
    <row r="27" spans="1:21" ht="15" customHeight="1">
      <c r="A27" s="161">
        <v>15</v>
      </c>
      <c r="B27" s="162">
        <v>15</v>
      </c>
      <c r="C27" s="162">
        <v>25</v>
      </c>
      <c r="D27" s="162">
        <v>25</v>
      </c>
      <c r="E27" s="162">
        <v>65</v>
      </c>
      <c r="F27" s="42">
        <f t="shared" si="0"/>
        <v>4.596194077712559</v>
      </c>
      <c r="G27" s="42">
        <f t="shared" si="10"/>
        <v>0.8212046013227189</v>
      </c>
      <c r="H27" s="56">
        <f t="shared" si="1"/>
        <v>7.805918768515634</v>
      </c>
      <c r="I27" s="56">
        <f t="shared" si="11"/>
        <v>4.965277777777779</v>
      </c>
      <c r="J27" s="56">
        <f t="shared" si="12"/>
        <v>7.805918768515634</v>
      </c>
      <c r="K27" s="57">
        <f t="shared" si="2"/>
        <v>4</v>
      </c>
      <c r="L27" s="76" t="s">
        <v>5</v>
      </c>
      <c r="M27" s="167">
        <v>16</v>
      </c>
      <c r="N27" s="78" t="str">
        <f t="shared" si="3"/>
        <v>safe</v>
      </c>
      <c r="O27" s="30">
        <v>0.826</v>
      </c>
      <c r="P27" s="39">
        <f t="shared" si="4"/>
        <v>0.8212046013227189</v>
      </c>
      <c r="Q27" s="30">
        <f t="shared" si="5"/>
        <v>4.965277777777779</v>
      </c>
      <c r="R27" s="30">
        <f t="shared" si="6"/>
        <v>10.381871962125794</v>
      </c>
      <c r="S27" s="30">
        <f t="shared" si="7"/>
        <v>4.965277777777779</v>
      </c>
      <c r="T27" s="30">
        <f t="shared" si="8"/>
        <v>2.4375</v>
      </c>
      <c r="U27" s="30" t="b">
        <f t="shared" si="9"/>
        <v>1</v>
      </c>
    </row>
    <row r="28" spans="1:21" ht="15" customHeight="1">
      <c r="A28" s="161">
        <v>16</v>
      </c>
      <c r="B28" s="162">
        <v>15</v>
      </c>
      <c r="C28" s="162">
        <v>25</v>
      </c>
      <c r="D28" s="162">
        <v>25</v>
      </c>
      <c r="E28" s="162">
        <v>65</v>
      </c>
      <c r="F28" s="42">
        <f t="shared" si="0"/>
        <v>4.596194077712559</v>
      </c>
      <c r="G28" s="42">
        <f t="shared" si="10"/>
        <v>0.8212046013227189</v>
      </c>
      <c r="H28" s="56">
        <f t="shared" si="1"/>
        <v>7.805918768515634</v>
      </c>
      <c r="I28" s="56">
        <f t="shared" si="11"/>
        <v>4.965277777777779</v>
      </c>
      <c r="J28" s="56">
        <f t="shared" si="12"/>
        <v>7.805918768515634</v>
      </c>
      <c r="K28" s="57">
        <f t="shared" si="2"/>
        <v>4</v>
      </c>
      <c r="L28" s="76" t="s">
        <v>5</v>
      </c>
      <c r="M28" s="167">
        <v>16</v>
      </c>
      <c r="N28" s="78" t="str">
        <f t="shared" si="3"/>
        <v>safe</v>
      </c>
      <c r="O28" s="30">
        <v>0.826</v>
      </c>
      <c r="P28" s="39">
        <f t="shared" si="4"/>
        <v>0.8212046013227189</v>
      </c>
      <c r="Q28" s="30">
        <f t="shared" si="5"/>
        <v>4.965277777777779</v>
      </c>
      <c r="R28" s="30">
        <f t="shared" si="6"/>
        <v>10.381871962125794</v>
      </c>
      <c r="S28" s="30">
        <f t="shared" si="7"/>
        <v>4.965277777777779</v>
      </c>
      <c r="T28" s="30">
        <f t="shared" si="8"/>
        <v>2.4375</v>
      </c>
      <c r="U28" s="30" t="b">
        <f t="shared" si="9"/>
        <v>1</v>
      </c>
    </row>
    <row r="29" spans="1:21" ht="15" customHeight="1">
      <c r="A29" s="161">
        <v>17</v>
      </c>
      <c r="B29" s="162">
        <v>15</v>
      </c>
      <c r="C29" s="162">
        <v>25</v>
      </c>
      <c r="D29" s="162">
        <v>25</v>
      </c>
      <c r="E29" s="162">
        <v>65</v>
      </c>
      <c r="F29" s="42">
        <f t="shared" si="0"/>
        <v>4.596194077712559</v>
      </c>
      <c r="G29" s="42">
        <f t="shared" si="10"/>
        <v>0.8212046013227189</v>
      </c>
      <c r="H29" s="56">
        <f t="shared" si="1"/>
        <v>7.805918768515634</v>
      </c>
      <c r="I29" s="56">
        <f t="shared" si="11"/>
        <v>4.965277777777779</v>
      </c>
      <c r="J29" s="56">
        <f t="shared" si="12"/>
        <v>7.805918768515634</v>
      </c>
      <c r="K29" s="57">
        <f t="shared" si="2"/>
        <v>4</v>
      </c>
      <c r="L29" s="76" t="s">
        <v>5</v>
      </c>
      <c r="M29" s="167">
        <v>16</v>
      </c>
      <c r="N29" s="78" t="str">
        <f t="shared" si="3"/>
        <v>safe</v>
      </c>
      <c r="O29" s="30">
        <v>0.826</v>
      </c>
      <c r="P29" s="39">
        <f t="shared" si="4"/>
        <v>0.8212046013227189</v>
      </c>
      <c r="Q29" s="30">
        <f t="shared" si="5"/>
        <v>4.965277777777779</v>
      </c>
      <c r="R29" s="30">
        <f t="shared" si="6"/>
        <v>10.381871962125794</v>
      </c>
      <c r="S29" s="30">
        <f t="shared" si="7"/>
        <v>4.965277777777779</v>
      </c>
      <c r="T29" s="30">
        <f t="shared" si="8"/>
        <v>2.4375</v>
      </c>
      <c r="U29" s="30" t="b">
        <f t="shared" si="9"/>
        <v>1</v>
      </c>
    </row>
    <row r="30" spans="1:21" ht="15" customHeight="1">
      <c r="A30" s="161">
        <v>18</v>
      </c>
      <c r="B30" s="162">
        <v>15</v>
      </c>
      <c r="C30" s="162">
        <v>25</v>
      </c>
      <c r="D30" s="162">
        <v>25</v>
      </c>
      <c r="E30" s="162">
        <v>65</v>
      </c>
      <c r="F30" s="42">
        <f t="shared" si="0"/>
        <v>4.596194077712559</v>
      </c>
      <c r="G30" s="42">
        <f t="shared" si="10"/>
        <v>0.8212046013227189</v>
      </c>
      <c r="H30" s="56">
        <f t="shared" si="1"/>
        <v>7.805918768515634</v>
      </c>
      <c r="I30" s="56">
        <f t="shared" si="11"/>
        <v>4.965277777777779</v>
      </c>
      <c r="J30" s="56">
        <f t="shared" si="12"/>
        <v>7.805918768515634</v>
      </c>
      <c r="K30" s="57">
        <f t="shared" si="2"/>
        <v>4</v>
      </c>
      <c r="L30" s="76" t="s">
        <v>5</v>
      </c>
      <c r="M30" s="167">
        <v>16</v>
      </c>
      <c r="N30" s="78" t="str">
        <f t="shared" si="3"/>
        <v>safe</v>
      </c>
      <c r="O30" s="30">
        <v>0.826</v>
      </c>
      <c r="P30" s="39">
        <f t="shared" si="4"/>
        <v>0.8212046013227189</v>
      </c>
      <c r="Q30" s="30">
        <f t="shared" si="5"/>
        <v>4.965277777777779</v>
      </c>
      <c r="R30" s="30">
        <f t="shared" si="6"/>
        <v>10.381871962125794</v>
      </c>
      <c r="S30" s="30">
        <f t="shared" si="7"/>
        <v>4.965277777777779</v>
      </c>
      <c r="T30" s="30">
        <f t="shared" si="8"/>
        <v>2.4375</v>
      </c>
      <c r="U30" s="30" t="b">
        <f t="shared" si="9"/>
        <v>1</v>
      </c>
    </row>
    <row r="31" spans="1:21" ht="15" customHeight="1">
      <c r="A31" s="161">
        <v>19</v>
      </c>
      <c r="B31" s="162">
        <v>15</v>
      </c>
      <c r="C31" s="162">
        <v>25</v>
      </c>
      <c r="D31" s="162">
        <v>25</v>
      </c>
      <c r="E31" s="162">
        <v>65</v>
      </c>
      <c r="F31" s="42">
        <f t="shared" si="0"/>
        <v>4.596194077712559</v>
      </c>
      <c r="G31" s="42">
        <f t="shared" si="10"/>
        <v>0.8212046013227189</v>
      </c>
      <c r="H31" s="56">
        <f t="shared" si="1"/>
        <v>7.805918768515634</v>
      </c>
      <c r="I31" s="56">
        <f t="shared" si="11"/>
        <v>4.965277777777779</v>
      </c>
      <c r="J31" s="56">
        <f t="shared" si="12"/>
        <v>7.805918768515634</v>
      </c>
      <c r="K31" s="57">
        <f t="shared" si="2"/>
        <v>4</v>
      </c>
      <c r="L31" s="76" t="s">
        <v>5</v>
      </c>
      <c r="M31" s="167">
        <v>16</v>
      </c>
      <c r="N31" s="78" t="str">
        <f t="shared" si="3"/>
        <v>safe</v>
      </c>
      <c r="O31" s="30">
        <v>0.826</v>
      </c>
      <c r="P31" s="39">
        <f t="shared" si="4"/>
        <v>0.8212046013227189</v>
      </c>
      <c r="Q31" s="30">
        <f t="shared" si="5"/>
        <v>4.965277777777779</v>
      </c>
      <c r="R31" s="30">
        <f t="shared" si="6"/>
        <v>10.381871962125794</v>
      </c>
      <c r="S31" s="30">
        <f t="shared" si="7"/>
        <v>4.965277777777779</v>
      </c>
      <c r="T31" s="30">
        <f t="shared" si="8"/>
        <v>2.4375</v>
      </c>
      <c r="U31" s="30" t="b">
        <f t="shared" si="9"/>
        <v>1</v>
      </c>
    </row>
    <row r="32" spans="1:21" ht="15" customHeight="1">
      <c r="A32" s="161">
        <v>20</v>
      </c>
      <c r="B32" s="162">
        <v>15</v>
      </c>
      <c r="C32" s="162">
        <v>25</v>
      </c>
      <c r="D32" s="162">
        <v>25</v>
      </c>
      <c r="E32" s="162">
        <v>65</v>
      </c>
      <c r="F32" s="42">
        <f t="shared" si="0"/>
        <v>4.596194077712559</v>
      </c>
      <c r="G32" s="42">
        <f t="shared" si="10"/>
        <v>0.8212046013227189</v>
      </c>
      <c r="H32" s="56">
        <f t="shared" si="1"/>
        <v>7.805918768515634</v>
      </c>
      <c r="I32" s="56">
        <f t="shared" si="11"/>
        <v>4.965277777777779</v>
      </c>
      <c r="J32" s="56">
        <f t="shared" si="12"/>
        <v>7.805918768515634</v>
      </c>
      <c r="K32" s="57">
        <f t="shared" si="2"/>
        <v>4</v>
      </c>
      <c r="L32" s="76" t="s">
        <v>5</v>
      </c>
      <c r="M32" s="167">
        <v>16</v>
      </c>
      <c r="N32" s="78" t="str">
        <f t="shared" si="3"/>
        <v>safe</v>
      </c>
      <c r="O32" s="30">
        <v>0.826</v>
      </c>
      <c r="P32" s="39">
        <f t="shared" si="4"/>
        <v>0.8212046013227189</v>
      </c>
      <c r="Q32" s="30">
        <f t="shared" si="5"/>
        <v>4.965277777777779</v>
      </c>
      <c r="R32" s="30">
        <f t="shared" si="6"/>
        <v>10.381871962125794</v>
      </c>
      <c r="S32" s="30">
        <f t="shared" si="7"/>
        <v>4.965277777777779</v>
      </c>
      <c r="T32" s="30">
        <f t="shared" si="8"/>
        <v>2.4375</v>
      </c>
      <c r="U32" s="30" t="b">
        <f t="shared" si="9"/>
        <v>1</v>
      </c>
    </row>
    <row r="33" spans="1:21" ht="15" customHeight="1">
      <c r="A33" s="161">
        <v>21</v>
      </c>
      <c r="B33" s="162">
        <v>15</v>
      </c>
      <c r="C33" s="162">
        <v>25</v>
      </c>
      <c r="D33" s="162">
        <v>25</v>
      </c>
      <c r="E33" s="162">
        <v>65</v>
      </c>
      <c r="F33" s="42">
        <f t="shared" si="0"/>
        <v>4.596194077712559</v>
      </c>
      <c r="G33" s="42">
        <f t="shared" si="10"/>
        <v>0.8212046013227189</v>
      </c>
      <c r="H33" s="56">
        <f t="shared" si="1"/>
        <v>7.805918768515634</v>
      </c>
      <c r="I33" s="56">
        <f t="shared" si="11"/>
        <v>4.965277777777779</v>
      </c>
      <c r="J33" s="56">
        <f t="shared" si="12"/>
        <v>7.805918768515634</v>
      </c>
      <c r="K33" s="57">
        <f t="shared" si="2"/>
        <v>4</v>
      </c>
      <c r="L33" s="76" t="s">
        <v>5</v>
      </c>
      <c r="M33" s="167">
        <v>16</v>
      </c>
      <c r="N33" s="78" t="str">
        <f t="shared" si="3"/>
        <v>safe</v>
      </c>
      <c r="O33" s="30">
        <v>0.826</v>
      </c>
      <c r="P33" s="39">
        <f t="shared" si="4"/>
        <v>0.8212046013227189</v>
      </c>
      <c r="Q33" s="30">
        <f t="shared" si="5"/>
        <v>4.965277777777779</v>
      </c>
      <c r="R33" s="30">
        <f t="shared" si="6"/>
        <v>10.381871962125794</v>
      </c>
      <c r="S33" s="30">
        <f t="shared" si="7"/>
        <v>4.965277777777779</v>
      </c>
      <c r="T33" s="30">
        <f t="shared" si="8"/>
        <v>2.4375</v>
      </c>
      <c r="U33" s="30" t="b">
        <f t="shared" si="9"/>
        <v>1</v>
      </c>
    </row>
    <row r="34" spans="1:21" ht="15" customHeight="1">
      <c r="A34" s="161">
        <v>22</v>
      </c>
      <c r="B34" s="162">
        <v>15</v>
      </c>
      <c r="C34" s="162">
        <v>25</v>
      </c>
      <c r="D34" s="162">
        <v>25</v>
      </c>
      <c r="E34" s="162">
        <v>65</v>
      </c>
      <c r="F34" s="42">
        <f t="shared" si="0"/>
        <v>4.596194077712559</v>
      </c>
      <c r="G34" s="42">
        <f t="shared" si="10"/>
        <v>0.8212046013227189</v>
      </c>
      <c r="H34" s="56">
        <f t="shared" si="1"/>
        <v>7.805918768515634</v>
      </c>
      <c r="I34" s="56">
        <f t="shared" si="11"/>
        <v>4.965277777777779</v>
      </c>
      <c r="J34" s="56">
        <f t="shared" si="12"/>
        <v>7.805918768515634</v>
      </c>
      <c r="K34" s="57">
        <f t="shared" si="2"/>
        <v>4</v>
      </c>
      <c r="L34" s="76" t="s">
        <v>5</v>
      </c>
      <c r="M34" s="167">
        <v>16</v>
      </c>
      <c r="N34" s="78" t="str">
        <f t="shared" si="3"/>
        <v>safe</v>
      </c>
      <c r="O34" s="30">
        <v>0.826</v>
      </c>
      <c r="P34" s="39">
        <f t="shared" si="4"/>
        <v>0.8212046013227189</v>
      </c>
      <c r="Q34" s="30">
        <f t="shared" si="5"/>
        <v>4.965277777777779</v>
      </c>
      <c r="R34" s="30">
        <f t="shared" si="6"/>
        <v>10.381871962125794</v>
      </c>
      <c r="S34" s="30">
        <f t="shared" si="7"/>
        <v>4.965277777777779</v>
      </c>
      <c r="T34" s="30">
        <f t="shared" si="8"/>
        <v>2.4375</v>
      </c>
      <c r="U34" s="30" t="b">
        <f t="shared" si="9"/>
        <v>1</v>
      </c>
    </row>
    <row r="35" spans="1:21" ht="15" customHeight="1">
      <c r="A35" s="161">
        <v>23</v>
      </c>
      <c r="B35" s="162">
        <v>15</v>
      </c>
      <c r="C35" s="162">
        <v>25</v>
      </c>
      <c r="D35" s="162">
        <v>25</v>
      </c>
      <c r="E35" s="162">
        <v>65</v>
      </c>
      <c r="F35" s="42">
        <f t="shared" si="0"/>
        <v>4.596194077712559</v>
      </c>
      <c r="G35" s="42">
        <f t="shared" si="10"/>
        <v>0.8212046013227189</v>
      </c>
      <c r="H35" s="56">
        <f t="shared" si="1"/>
        <v>7.805918768515634</v>
      </c>
      <c r="I35" s="56">
        <f t="shared" si="11"/>
        <v>4.965277777777779</v>
      </c>
      <c r="J35" s="56">
        <f t="shared" si="12"/>
        <v>7.805918768515634</v>
      </c>
      <c r="K35" s="57">
        <f t="shared" si="2"/>
        <v>4</v>
      </c>
      <c r="L35" s="76" t="s">
        <v>5</v>
      </c>
      <c r="M35" s="167">
        <v>16</v>
      </c>
      <c r="N35" s="78" t="str">
        <f t="shared" si="3"/>
        <v>safe</v>
      </c>
      <c r="O35" s="30">
        <v>0.826</v>
      </c>
      <c r="P35" s="39">
        <f t="shared" si="4"/>
        <v>0.8212046013227189</v>
      </c>
      <c r="Q35" s="30">
        <f t="shared" si="5"/>
        <v>4.965277777777779</v>
      </c>
      <c r="R35" s="30">
        <f t="shared" si="6"/>
        <v>10.381871962125794</v>
      </c>
      <c r="S35" s="30">
        <f t="shared" si="7"/>
        <v>4.965277777777779</v>
      </c>
      <c r="T35" s="30">
        <f t="shared" si="8"/>
        <v>2.4375</v>
      </c>
      <c r="U35" s="30" t="b">
        <f t="shared" si="9"/>
        <v>1</v>
      </c>
    </row>
    <row r="36" spans="1:21" ht="15" customHeight="1">
      <c r="A36" s="161">
        <v>24</v>
      </c>
      <c r="B36" s="162">
        <v>15</v>
      </c>
      <c r="C36" s="162">
        <v>25</v>
      </c>
      <c r="D36" s="162">
        <v>25</v>
      </c>
      <c r="E36" s="162">
        <v>65</v>
      </c>
      <c r="F36" s="42">
        <f t="shared" si="0"/>
        <v>4.596194077712559</v>
      </c>
      <c r="G36" s="42">
        <f t="shared" si="10"/>
        <v>0.8212046013227189</v>
      </c>
      <c r="H36" s="56">
        <f t="shared" si="1"/>
        <v>7.805918768515634</v>
      </c>
      <c r="I36" s="56">
        <f t="shared" si="11"/>
        <v>4.965277777777779</v>
      </c>
      <c r="J36" s="56">
        <f t="shared" si="12"/>
        <v>7.805918768515634</v>
      </c>
      <c r="K36" s="57">
        <f t="shared" si="2"/>
        <v>4</v>
      </c>
      <c r="L36" s="76" t="s">
        <v>5</v>
      </c>
      <c r="M36" s="167">
        <v>16</v>
      </c>
      <c r="N36" s="78" t="str">
        <f t="shared" si="3"/>
        <v>safe</v>
      </c>
      <c r="O36" s="30">
        <v>0.826</v>
      </c>
      <c r="P36" s="39">
        <f t="shared" si="4"/>
        <v>0.8212046013227189</v>
      </c>
      <c r="Q36" s="30">
        <f t="shared" si="5"/>
        <v>4.965277777777779</v>
      </c>
      <c r="R36" s="30">
        <f t="shared" si="6"/>
        <v>10.381871962125794</v>
      </c>
      <c r="S36" s="30">
        <f t="shared" si="7"/>
        <v>4.965277777777779</v>
      </c>
      <c r="T36" s="30">
        <f t="shared" si="8"/>
        <v>2.4375</v>
      </c>
      <c r="U36" s="30" t="b">
        <f t="shared" si="9"/>
        <v>1</v>
      </c>
    </row>
    <row r="37" spans="1:21" ht="15" customHeight="1">
      <c r="A37" s="161">
        <v>25</v>
      </c>
      <c r="B37" s="162">
        <v>15</v>
      </c>
      <c r="C37" s="162">
        <v>25</v>
      </c>
      <c r="D37" s="162">
        <v>25</v>
      </c>
      <c r="E37" s="162">
        <v>65</v>
      </c>
      <c r="F37" s="42">
        <f t="shared" si="0"/>
        <v>4.596194077712559</v>
      </c>
      <c r="G37" s="42">
        <f t="shared" si="10"/>
        <v>0.8212046013227189</v>
      </c>
      <c r="H37" s="56">
        <f t="shared" si="1"/>
        <v>7.805918768515634</v>
      </c>
      <c r="I37" s="56">
        <f t="shared" si="11"/>
        <v>4.965277777777779</v>
      </c>
      <c r="J37" s="56">
        <f t="shared" si="12"/>
        <v>7.805918768515634</v>
      </c>
      <c r="K37" s="57">
        <f t="shared" si="2"/>
        <v>4</v>
      </c>
      <c r="L37" s="76" t="s">
        <v>5</v>
      </c>
      <c r="M37" s="167">
        <v>16</v>
      </c>
      <c r="N37" s="78" t="str">
        <f t="shared" si="3"/>
        <v>safe</v>
      </c>
      <c r="O37" s="30">
        <v>0.826</v>
      </c>
      <c r="P37" s="39">
        <f t="shared" si="4"/>
        <v>0.8212046013227189</v>
      </c>
      <c r="Q37" s="30">
        <f t="shared" si="5"/>
        <v>4.965277777777779</v>
      </c>
      <c r="R37" s="30">
        <f t="shared" si="6"/>
        <v>10.381871962125794</v>
      </c>
      <c r="S37" s="30">
        <f t="shared" si="7"/>
        <v>4.965277777777779</v>
      </c>
      <c r="T37" s="30">
        <f t="shared" si="8"/>
        <v>2.4375</v>
      </c>
      <c r="U37" s="30" t="b">
        <f t="shared" si="9"/>
        <v>1</v>
      </c>
    </row>
    <row r="38" spans="1:21" ht="15" customHeight="1">
      <c r="A38" s="161">
        <v>26</v>
      </c>
      <c r="B38" s="162">
        <v>15</v>
      </c>
      <c r="C38" s="162">
        <v>25</v>
      </c>
      <c r="D38" s="162">
        <v>25</v>
      </c>
      <c r="E38" s="162">
        <v>65</v>
      </c>
      <c r="F38" s="42">
        <f t="shared" si="0"/>
        <v>4.596194077712559</v>
      </c>
      <c r="G38" s="42">
        <f t="shared" si="10"/>
        <v>0.8212046013227189</v>
      </c>
      <c r="H38" s="56">
        <f t="shared" si="1"/>
        <v>7.805918768515634</v>
      </c>
      <c r="I38" s="56">
        <f t="shared" si="11"/>
        <v>4.965277777777779</v>
      </c>
      <c r="J38" s="56">
        <f t="shared" si="12"/>
        <v>7.805918768515634</v>
      </c>
      <c r="K38" s="57">
        <f t="shared" si="2"/>
        <v>4</v>
      </c>
      <c r="L38" s="76" t="s">
        <v>5</v>
      </c>
      <c r="M38" s="167">
        <v>16</v>
      </c>
      <c r="N38" s="78" t="str">
        <f t="shared" si="3"/>
        <v>safe</v>
      </c>
      <c r="O38" s="30">
        <v>0.826</v>
      </c>
      <c r="P38" s="39">
        <f t="shared" si="4"/>
        <v>0.8212046013227189</v>
      </c>
      <c r="Q38" s="30">
        <f t="shared" si="5"/>
        <v>4.965277777777779</v>
      </c>
      <c r="R38" s="30">
        <f t="shared" si="6"/>
        <v>10.381871962125794</v>
      </c>
      <c r="S38" s="30">
        <f t="shared" si="7"/>
        <v>4.965277777777779</v>
      </c>
      <c r="T38" s="30">
        <f t="shared" si="8"/>
        <v>2.4375</v>
      </c>
      <c r="U38" s="30" t="b">
        <f t="shared" si="9"/>
        <v>1</v>
      </c>
    </row>
    <row r="39" spans="1:21" ht="15" customHeight="1">
      <c r="A39" s="161">
        <v>27</v>
      </c>
      <c r="B39" s="162">
        <v>15</v>
      </c>
      <c r="C39" s="162">
        <v>25</v>
      </c>
      <c r="D39" s="162">
        <v>25</v>
      </c>
      <c r="E39" s="162">
        <v>65</v>
      </c>
      <c r="F39" s="42">
        <f t="shared" si="0"/>
        <v>4.596194077712559</v>
      </c>
      <c r="G39" s="42">
        <f t="shared" si="10"/>
        <v>0.8212046013227189</v>
      </c>
      <c r="H39" s="56">
        <f t="shared" si="1"/>
        <v>7.805918768515634</v>
      </c>
      <c r="I39" s="56">
        <f t="shared" si="11"/>
        <v>4.965277777777779</v>
      </c>
      <c r="J39" s="56">
        <f t="shared" si="12"/>
        <v>7.805918768515634</v>
      </c>
      <c r="K39" s="57">
        <f t="shared" si="2"/>
        <v>4</v>
      </c>
      <c r="L39" s="76" t="s">
        <v>5</v>
      </c>
      <c r="M39" s="167">
        <v>16</v>
      </c>
      <c r="N39" s="78" t="str">
        <f t="shared" si="3"/>
        <v>safe</v>
      </c>
      <c r="O39" s="30">
        <v>0.826</v>
      </c>
      <c r="P39" s="39">
        <f t="shared" si="4"/>
        <v>0.8212046013227189</v>
      </c>
      <c r="Q39" s="30">
        <f t="shared" si="5"/>
        <v>4.965277777777779</v>
      </c>
      <c r="R39" s="30">
        <f t="shared" si="6"/>
        <v>10.381871962125794</v>
      </c>
      <c r="S39" s="30">
        <f t="shared" si="7"/>
        <v>4.965277777777779</v>
      </c>
      <c r="T39" s="30">
        <f t="shared" si="8"/>
        <v>2.4375</v>
      </c>
      <c r="U39" s="30" t="b">
        <f t="shared" si="9"/>
        <v>1</v>
      </c>
    </row>
    <row r="40" spans="1:21" ht="15" customHeight="1">
      <c r="A40" s="161">
        <v>28</v>
      </c>
      <c r="B40" s="162">
        <v>15</v>
      </c>
      <c r="C40" s="162">
        <v>25</v>
      </c>
      <c r="D40" s="162">
        <v>25</v>
      </c>
      <c r="E40" s="162">
        <v>65</v>
      </c>
      <c r="F40" s="42">
        <f t="shared" si="0"/>
        <v>4.596194077712559</v>
      </c>
      <c r="G40" s="42">
        <f t="shared" si="10"/>
        <v>0.8212046013227189</v>
      </c>
      <c r="H40" s="56">
        <f t="shared" si="1"/>
        <v>7.805918768515634</v>
      </c>
      <c r="I40" s="56">
        <f t="shared" si="11"/>
        <v>4.965277777777779</v>
      </c>
      <c r="J40" s="56">
        <f t="shared" si="12"/>
        <v>7.805918768515634</v>
      </c>
      <c r="K40" s="57">
        <f t="shared" si="2"/>
        <v>4</v>
      </c>
      <c r="L40" s="76" t="s">
        <v>5</v>
      </c>
      <c r="M40" s="167">
        <v>16</v>
      </c>
      <c r="N40" s="78" t="str">
        <f t="shared" si="3"/>
        <v>safe</v>
      </c>
      <c r="O40" s="30">
        <v>0.826</v>
      </c>
      <c r="P40" s="39">
        <f t="shared" si="4"/>
        <v>0.8212046013227189</v>
      </c>
      <c r="Q40" s="30">
        <f t="shared" si="5"/>
        <v>4.965277777777779</v>
      </c>
      <c r="R40" s="30">
        <f t="shared" si="6"/>
        <v>10.381871962125794</v>
      </c>
      <c r="S40" s="30">
        <f t="shared" si="7"/>
        <v>4.965277777777779</v>
      </c>
      <c r="T40" s="30">
        <f t="shared" si="8"/>
        <v>2.4375</v>
      </c>
      <c r="U40" s="30" t="b">
        <f t="shared" si="9"/>
        <v>1</v>
      </c>
    </row>
    <row r="41" spans="1:21" ht="15" customHeight="1">
      <c r="A41" s="161">
        <v>29</v>
      </c>
      <c r="B41" s="162">
        <v>15</v>
      </c>
      <c r="C41" s="162">
        <v>25</v>
      </c>
      <c r="D41" s="162">
        <v>25</v>
      </c>
      <c r="E41" s="162">
        <v>65</v>
      </c>
      <c r="F41" s="42">
        <f t="shared" si="0"/>
        <v>4.596194077712559</v>
      </c>
      <c r="G41" s="42">
        <f t="shared" si="10"/>
        <v>0.8212046013227189</v>
      </c>
      <c r="H41" s="56">
        <f t="shared" si="1"/>
        <v>7.805918768515634</v>
      </c>
      <c r="I41" s="56">
        <f t="shared" si="11"/>
        <v>4.965277777777779</v>
      </c>
      <c r="J41" s="56">
        <f t="shared" si="12"/>
        <v>7.805918768515634</v>
      </c>
      <c r="K41" s="57">
        <f t="shared" si="2"/>
        <v>4</v>
      </c>
      <c r="L41" s="76" t="s">
        <v>5</v>
      </c>
      <c r="M41" s="167">
        <v>16</v>
      </c>
      <c r="N41" s="78" t="str">
        <f t="shared" si="3"/>
        <v>safe</v>
      </c>
      <c r="O41" s="30">
        <v>0.826</v>
      </c>
      <c r="P41" s="39">
        <f t="shared" si="4"/>
        <v>0.8212046013227189</v>
      </c>
      <c r="Q41" s="30">
        <f t="shared" si="5"/>
        <v>4.965277777777779</v>
      </c>
      <c r="R41" s="30">
        <f t="shared" si="6"/>
        <v>10.381871962125794</v>
      </c>
      <c r="S41" s="30">
        <f t="shared" si="7"/>
        <v>4.965277777777779</v>
      </c>
      <c r="T41" s="30">
        <f t="shared" si="8"/>
        <v>2.4375</v>
      </c>
      <c r="U41" s="30" t="b">
        <f t="shared" si="9"/>
        <v>1</v>
      </c>
    </row>
    <row r="42" spans="1:21" ht="15" customHeight="1">
      <c r="A42" s="161">
        <v>30</v>
      </c>
      <c r="B42" s="162">
        <v>15</v>
      </c>
      <c r="C42" s="162">
        <v>25</v>
      </c>
      <c r="D42" s="162">
        <v>25</v>
      </c>
      <c r="E42" s="162">
        <v>65</v>
      </c>
      <c r="F42" s="42">
        <f t="shared" si="0"/>
        <v>4.596194077712559</v>
      </c>
      <c r="G42" s="42">
        <f t="shared" si="10"/>
        <v>0.8212046013227189</v>
      </c>
      <c r="H42" s="56">
        <f t="shared" si="1"/>
        <v>7.805918768515634</v>
      </c>
      <c r="I42" s="56">
        <f t="shared" si="11"/>
        <v>4.965277777777779</v>
      </c>
      <c r="J42" s="56">
        <f t="shared" si="12"/>
        <v>7.805918768515634</v>
      </c>
      <c r="K42" s="57">
        <f t="shared" si="2"/>
        <v>4</v>
      </c>
      <c r="L42" s="76" t="s">
        <v>5</v>
      </c>
      <c r="M42" s="167">
        <v>16</v>
      </c>
      <c r="N42" s="78" t="str">
        <f t="shared" si="3"/>
        <v>safe</v>
      </c>
      <c r="O42" s="30">
        <v>0.826</v>
      </c>
      <c r="P42" s="39">
        <f t="shared" si="4"/>
        <v>0.8212046013227189</v>
      </c>
      <c r="Q42" s="30">
        <f t="shared" si="5"/>
        <v>4.965277777777779</v>
      </c>
      <c r="R42" s="30">
        <f t="shared" si="6"/>
        <v>10.381871962125794</v>
      </c>
      <c r="S42" s="30">
        <f t="shared" si="7"/>
        <v>4.965277777777779</v>
      </c>
      <c r="T42" s="30">
        <f t="shared" si="8"/>
        <v>2.4375</v>
      </c>
      <c r="U42" s="30" t="b">
        <f t="shared" si="9"/>
        <v>1</v>
      </c>
    </row>
    <row r="43" spans="1:21" ht="15" customHeight="1">
      <c r="A43" s="161">
        <v>31</v>
      </c>
      <c r="B43" s="162">
        <v>15</v>
      </c>
      <c r="C43" s="162">
        <v>25</v>
      </c>
      <c r="D43" s="162">
        <v>25</v>
      </c>
      <c r="E43" s="162">
        <v>65</v>
      </c>
      <c r="F43" s="42">
        <f t="shared" si="0"/>
        <v>4.596194077712559</v>
      </c>
      <c r="G43" s="42">
        <f t="shared" si="10"/>
        <v>0.8212046013227189</v>
      </c>
      <c r="H43" s="56">
        <f t="shared" si="1"/>
        <v>7.805918768515634</v>
      </c>
      <c r="I43" s="56">
        <f t="shared" si="11"/>
        <v>4.965277777777779</v>
      </c>
      <c r="J43" s="56">
        <f t="shared" si="12"/>
        <v>7.805918768515634</v>
      </c>
      <c r="K43" s="57">
        <f t="shared" si="2"/>
        <v>4</v>
      </c>
      <c r="L43" s="76" t="s">
        <v>5</v>
      </c>
      <c r="M43" s="167">
        <v>16</v>
      </c>
      <c r="N43" s="78" t="str">
        <f t="shared" si="3"/>
        <v>safe</v>
      </c>
      <c r="O43" s="30">
        <v>0.826</v>
      </c>
      <c r="P43" s="39">
        <f t="shared" si="4"/>
        <v>0.8212046013227189</v>
      </c>
      <c r="Q43" s="30">
        <f t="shared" si="5"/>
        <v>4.965277777777779</v>
      </c>
      <c r="R43" s="30">
        <f t="shared" si="6"/>
        <v>10.381871962125794</v>
      </c>
      <c r="S43" s="30">
        <f t="shared" si="7"/>
        <v>4.965277777777779</v>
      </c>
      <c r="T43" s="30">
        <f t="shared" si="8"/>
        <v>2.4375</v>
      </c>
      <c r="U43" s="30" t="b">
        <f t="shared" si="9"/>
        <v>1</v>
      </c>
    </row>
    <row r="44" spans="1:21" ht="15" customHeight="1">
      <c r="A44" s="161">
        <v>32</v>
      </c>
      <c r="B44" s="162">
        <v>15</v>
      </c>
      <c r="C44" s="162">
        <v>25</v>
      </c>
      <c r="D44" s="162">
        <v>25</v>
      </c>
      <c r="E44" s="162">
        <v>65</v>
      </c>
      <c r="F44" s="42">
        <f t="shared" si="0"/>
        <v>4.596194077712559</v>
      </c>
      <c r="G44" s="42">
        <f t="shared" si="10"/>
        <v>0.8212046013227189</v>
      </c>
      <c r="H44" s="56">
        <f t="shared" si="1"/>
        <v>7.805918768515634</v>
      </c>
      <c r="I44" s="56">
        <f t="shared" si="11"/>
        <v>4.965277777777779</v>
      </c>
      <c r="J44" s="56">
        <f t="shared" si="12"/>
        <v>7.805918768515634</v>
      </c>
      <c r="K44" s="57">
        <f t="shared" si="2"/>
        <v>4</v>
      </c>
      <c r="L44" s="76" t="s">
        <v>5</v>
      </c>
      <c r="M44" s="167">
        <v>16</v>
      </c>
      <c r="N44" s="78" t="str">
        <f t="shared" si="3"/>
        <v>safe</v>
      </c>
      <c r="O44" s="30">
        <v>0.826</v>
      </c>
      <c r="P44" s="39">
        <f t="shared" si="4"/>
        <v>0.8212046013227189</v>
      </c>
      <c r="Q44" s="30">
        <f t="shared" si="5"/>
        <v>4.965277777777779</v>
      </c>
      <c r="R44" s="30">
        <f t="shared" si="6"/>
        <v>10.381871962125794</v>
      </c>
      <c r="S44" s="30">
        <f t="shared" si="7"/>
        <v>4.965277777777779</v>
      </c>
      <c r="T44" s="30">
        <f t="shared" si="8"/>
        <v>2.4375</v>
      </c>
      <c r="U44" s="30" t="b">
        <f t="shared" si="9"/>
        <v>1</v>
      </c>
    </row>
    <row r="45" spans="1:21" ht="15" customHeight="1">
      <c r="A45" s="161">
        <v>33</v>
      </c>
      <c r="B45" s="162">
        <v>15</v>
      </c>
      <c r="C45" s="162">
        <v>25</v>
      </c>
      <c r="D45" s="162">
        <v>25</v>
      </c>
      <c r="E45" s="162">
        <v>65</v>
      </c>
      <c r="F45" s="42">
        <f t="shared" si="0"/>
        <v>4.596194077712559</v>
      </c>
      <c r="G45" s="42">
        <f t="shared" si="10"/>
        <v>0.8212046013227189</v>
      </c>
      <c r="H45" s="56">
        <f t="shared" si="1"/>
        <v>7.805918768515634</v>
      </c>
      <c r="I45" s="56">
        <f t="shared" si="11"/>
        <v>4.965277777777779</v>
      </c>
      <c r="J45" s="56">
        <f t="shared" si="12"/>
        <v>7.805918768515634</v>
      </c>
      <c r="K45" s="57">
        <f t="shared" si="2"/>
        <v>4</v>
      </c>
      <c r="L45" s="76" t="s">
        <v>5</v>
      </c>
      <c r="M45" s="167">
        <v>16</v>
      </c>
      <c r="N45" s="78" t="str">
        <f t="shared" si="3"/>
        <v>safe</v>
      </c>
      <c r="O45" s="30">
        <v>0.826</v>
      </c>
      <c r="P45" s="39">
        <f t="shared" si="4"/>
        <v>0.8212046013227189</v>
      </c>
      <c r="Q45" s="30">
        <f t="shared" si="5"/>
        <v>4.965277777777779</v>
      </c>
      <c r="R45" s="30">
        <f t="shared" si="6"/>
        <v>10.381871962125794</v>
      </c>
      <c r="S45" s="30">
        <f t="shared" si="7"/>
        <v>4.965277777777779</v>
      </c>
      <c r="T45" s="30">
        <f t="shared" si="8"/>
        <v>2.4375</v>
      </c>
      <c r="U45" s="30" t="b">
        <f t="shared" si="9"/>
        <v>1</v>
      </c>
    </row>
    <row r="46" spans="1:21" ht="15" customHeight="1" thickBot="1">
      <c r="A46" s="163">
        <v>34</v>
      </c>
      <c r="B46" s="160">
        <v>15</v>
      </c>
      <c r="C46" s="160">
        <v>25</v>
      </c>
      <c r="D46" s="160">
        <v>25</v>
      </c>
      <c r="E46" s="160">
        <v>65</v>
      </c>
      <c r="F46" s="37">
        <f t="shared" si="0"/>
        <v>4.596194077712559</v>
      </c>
      <c r="G46" s="37">
        <f t="shared" si="10"/>
        <v>0.8212046013227189</v>
      </c>
      <c r="H46" s="62">
        <f t="shared" si="1"/>
        <v>7.805918768515634</v>
      </c>
      <c r="I46" s="62">
        <f t="shared" si="11"/>
        <v>4.965277777777779</v>
      </c>
      <c r="J46" s="62">
        <f t="shared" si="12"/>
        <v>7.805918768515634</v>
      </c>
      <c r="K46" s="63">
        <f t="shared" si="2"/>
        <v>4</v>
      </c>
      <c r="L46" s="64" t="s">
        <v>5</v>
      </c>
      <c r="M46" s="175">
        <v>16</v>
      </c>
      <c r="N46" s="65" t="str">
        <f t="shared" si="3"/>
        <v>safe</v>
      </c>
      <c r="O46" s="30">
        <v>0.826</v>
      </c>
      <c r="P46" s="39">
        <f t="shared" si="4"/>
        <v>0.8212046013227189</v>
      </c>
      <c r="Q46" s="30">
        <f t="shared" si="5"/>
        <v>4.965277777777779</v>
      </c>
      <c r="R46" s="30">
        <f t="shared" si="6"/>
        <v>10.381871962125794</v>
      </c>
      <c r="S46" s="30">
        <f t="shared" si="7"/>
        <v>4.965277777777779</v>
      </c>
      <c r="T46" s="30">
        <f t="shared" si="8"/>
        <v>2.4375</v>
      </c>
      <c r="U46" s="30" t="b">
        <f t="shared" si="9"/>
        <v>1</v>
      </c>
    </row>
  </sheetData>
  <sheetProtection sheet="1" objects="1" scenarios="1"/>
  <mergeCells count="6">
    <mergeCell ref="C4:N4"/>
    <mergeCell ref="A11:A12"/>
    <mergeCell ref="F11:F12"/>
    <mergeCell ref="G11:G12"/>
    <mergeCell ref="N11:N12"/>
    <mergeCell ref="K11:M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&amp;R&amp;"Arial,Bold Italic"&amp;9Concrete design using the ultimate limit design method.</oddHeader>
    <oddFooter>&amp;L&amp;"Arial,Bold Italic"&amp;9By: Eng. Mahmoud El-Kateb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7">
      <selection activeCell="C4" sqref="C4:O4"/>
    </sheetView>
  </sheetViews>
  <sheetFormatPr defaultColWidth="9.140625" defaultRowHeight="12.75"/>
  <cols>
    <col min="1" max="1" width="4.57421875" style="30" customWidth="1"/>
    <col min="2" max="2" width="14.8515625" style="30" customWidth="1"/>
    <col min="3" max="3" width="7.28125" style="30" customWidth="1"/>
    <col min="4" max="4" width="7.57421875" style="30" customWidth="1"/>
    <col min="5" max="5" width="7.00390625" style="30" customWidth="1"/>
    <col min="6" max="6" width="6.28125" style="30" customWidth="1"/>
    <col min="7" max="7" width="5.7109375" style="30" customWidth="1"/>
    <col min="8" max="9" width="6.140625" style="30" customWidth="1"/>
    <col min="10" max="10" width="5.57421875" style="30" hidden="1" customWidth="1"/>
    <col min="11" max="11" width="5.8515625" style="30" customWidth="1"/>
    <col min="12" max="12" width="5.57421875" style="30" customWidth="1"/>
    <col min="13" max="13" width="3.57421875" style="30" customWidth="1"/>
    <col min="14" max="14" width="3.421875" style="30" customWidth="1"/>
    <col min="15" max="15" width="3.8515625" style="30" customWidth="1"/>
    <col min="16" max="20" width="8.28125" style="30" hidden="1" customWidth="1"/>
    <col min="21" max="26" width="9.140625" style="30" hidden="1" customWidth="1"/>
    <col min="27" max="27" width="9.140625" style="30" customWidth="1"/>
    <col min="28" max="28" width="10.28125" style="30" customWidth="1"/>
    <col min="29" max="16384" width="9.140625" style="30" customWidth="1"/>
  </cols>
  <sheetData>
    <row r="1" ht="22.5">
      <c r="A1" s="34" t="s">
        <v>234</v>
      </c>
    </row>
    <row r="4" spans="2:15" ht="18.75">
      <c r="B4" s="35" t="s">
        <v>33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ht="15.75">
      <c r="B5" s="36"/>
    </row>
    <row r="6" ht="13.5" thickBot="1">
      <c r="AA6" s="51"/>
    </row>
    <row r="7" spans="2:4" ht="22.5" customHeight="1" thickTop="1">
      <c r="B7" s="52" t="s">
        <v>9</v>
      </c>
      <c r="C7" s="165">
        <v>225</v>
      </c>
      <c r="D7" s="53" t="s">
        <v>8</v>
      </c>
    </row>
    <row r="8" spans="2:4" ht="22.5" customHeight="1" thickBot="1">
      <c r="B8" s="54" t="s">
        <v>44</v>
      </c>
      <c r="C8" s="166">
        <v>3600</v>
      </c>
      <c r="D8" s="55" t="s">
        <v>8</v>
      </c>
    </row>
    <row r="9" spans="2:7" ht="15.75" thickTop="1">
      <c r="B9" s="50"/>
      <c r="C9" s="40"/>
      <c r="D9" s="40"/>
      <c r="E9" s="50"/>
      <c r="F9" s="50"/>
      <c r="G9" s="50"/>
    </row>
    <row r="10" ht="13.5" thickBot="1"/>
    <row r="11" spans="1:15" ht="15" customHeight="1">
      <c r="A11" s="247" t="s">
        <v>10</v>
      </c>
      <c r="B11" s="6" t="s">
        <v>91</v>
      </c>
      <c r="C11" s="6" t="s">
        <v>231</v>
      </c>
      <c r="D11" s="6" t="s">
        <v>6</v>
      </c>
      <c r="E11" s="6" t="s">
        <v>7</v>
      </c>
      <c r="F11" s="6" t="s">
        <v>170</v>
      </c>
      <c r="G11" s="287" t="s">
        <v>232</v>
      </c>
      <c r="H11" s="277" t="s">
        <v>0</v>
      </c>
      <c r="I11" s="277" t="s">
        <v>1</v>
      </c>
      <c r="J11" s="16"/>
      <c r="K11" s="16" t="s">
        <v>160</v>
      </c>
      <c r="L11" s="16" t="s">
        <v>12</v>
      </c>
      <c r="M11" s="281" t="s">
        <v>204</v>
      </c>
      <c r="N11" s="282"/>
      <c r="O11" s="289"/>
    </row>
    <row r="12" spans="1:15" ht="17.25" customHeight="1" thickBot="1">
      <c r="A12" s="248"/>
      <c r="B12" s="8" t="s">
        <v>57</v>
      </c>
      <c r="C12" s="8" t="s">
        <v>233</v>
      </c>
      <c r="D12" s="8" t="s">
        <v>3</v>
      </c>
      <c r="E12" s="8" t="s">
        <v>4</v>
      </c>
      <c r="F12" s="8" t="s">
        <v>23</v>
      </c>
      <c r="G12" s="288"/>
      <c r="H12" s="278"/>
      <c r="I12" s="278"/>
      <c r="J12" s="17" t="s">
        <v>2</v>
      </c>
      <c r="K12" s="17" t="s">
        <v>184</v>
      </c>
      <c r="L12" s="17" t="s">
        <v>2</v>
      </c>
      <c r="M12" s="284"/>
      <c r="N12" s="285"/>
      <c r="O12" s="290"/>
    </row>
    <row r="13" spans="1:26" ht="15" customHeight="1">
      <c r="A13" s="161">
        <v>1</v>
      </c>
      <c r="B13" s="162">
        <v>15</v>
      </c>
      <c r="C13" s="162">
        <v>-20</v>
      </c>
      <c r="D13" s="162">
        <v>25</v>
      </c>
      <c r="E13" s="162">
        <v>65</v>
      </c>
      <c r="F13" s="162">
        <v>70</v>
      </c>
      <c r="G13" s="223" t="str">
        <f>IF(Q13,"Big","Small")</f>
        <v>Big</v>
      </c>
      <c r="H13" s="42">
        <f aca="true" t="shared" si="0" ref="H13:H46">E13*($C$7*D13/T13/10^5)^0.5</f>
        <v>3.3640696017939766</v>
      </c>
      <c r="I13" s="42">
        <f>MIN(U13:V13)</f>
        <v>0.7732688116788704</v>
      </c>
      <c r="J13" s="56">
        <f>T13*10^5/$C$8/I13/E13+C13*1.15*1000/$C$8</f>
        <v>5.216853950880424</v>
      </c>
      <c r="K13" s="56">
        <f>MAX(Y13:Z13)</f>
        <v>4.965277777777779</v>
      </c>
      <c r="L13" s="56">
        <f>MAX(J13:K13)</f>
        <v>5.216853950880424</v>
      </c>
      <c r="M13" s="57">
        <f>INT(L13*400/3.14/O13^2)+1</f>
        <v>3</v>
      </c>
      <c r="N13" s="75" t="s">
        <v>5</v>
      </c>
      <c r="O13" s="221">
        <v>16</v>
      </c>
      <c r="P13" s="30">
        <f>ABS(B13/C13)</f>
        <v>0.75</v>
      </c>
      <c r="Q13" s="30" t="b">
        <f>P13&gt;F13/200</f>
        <v>1</v>
      </c>
      <c r="R13" s="30">
        <f>C13/ABS(C13)</f>
        <v>-1</v>
      </c>
      <c r="S13" s="30">
        <f aca="true" t="shared" si="1" ref="S13:S46">P13-R13*(F13*0.5-F13+E13)/100</f>
        <v>1.05</v>
      </c>
      <c r="T13" s="30">
        <f aca="true" t="shared" si="2" ref="T13:T46">ABS(C13*S13)</f>
        <v>21</v>
      </c>
      <c r="U13" s="30">
        <v>0.826</v>
      </c>
      <c r="V13" s="39">
        <f>0.5*(0.87+(0.7569-3.386/H13^2)^0.5)</f>
        <v>0.7732688116788704</v>
      </c>
      <c r="W13" s="30">
        <f aca="true" t="shared" si="3" ref="W13:W46">11/$C$8*D13*E13</f>
        <v>4.965277777777779</v>
      </c>
      <c r="X13" s="30">
        <f>1.33*J13</f>
        <v>6.938415754670964</v>
      </c>
      <c r="Y13" s="30">
        <f>MIN(W13:X13)</f>
        <v>4.965277777777779</v>
      </c>
      <c r="Z13" s="30">
        <f aca="true" t="shared" si="4" ref="Z13:Z46">0.15/100*D13*E13</f>
        <v>2.4375</v>
      </c>
    </row>
    <row r="14" spans="1:26" ht="15" customHeight="1">
      <c r="A14" s="161">
        <v>2</v>
      </c>
      <c r="B14" s="162">
        <v>15</v>
      </c>
      <c r="C14" s="162">
        <v>-20</v>
      </c>
      <c r="D14" s="162">
        <v>25</v>
      </c>
      <c r="E14" s="162">
        <v>65</v>
      </c>
      <c r="F14" s="162">
        <v>70</v>
      </c>
      <c r="G14" s="223" t="str">
        <f aca="true" t="shared" si="5" ref="G14:G46">IF(Q14,"Big","Small")</f>
        <v>Big</v>
      </c>
      <c r="H14" s="42">
        <f t="shared" si="0"/>
        <v>3.3640696017939766</v>
      </c>
      <c r="I14" s="42">
        <f aca="true" t="shared" si="6" ref="I14:I28">MIN(U14:V14)</f>
        <v>0.7732688116788704</v>
      </c>
      <c r="J14" s="56">
        <f aca="true" t="shared" si="7" ref="J14:J46">T14*10^5/$C$8/I14/E14+C14*1.15*1000/$C$8</f>
        <v>5.216853950880424</v>
      </c>
      <c r="K14" s="56">
        <f aca="true" t="shared" si="8" ref="K14:K46">MAX(Y14:Z14)</f>
        <v>4.965277777777779</v>
      </c>
      <c r="L14" s="56">
        <f aca="true" t="shared" si="9" ref="L14:L46">MAX(J14:K14)</f>
        <v>5.216853950880424</v>
      </c>
      <c r="M14" s="57">
        <f aca="true" t="shared" si="10" ref="M14:M46">INT(L14*400/3.14/O14^2)+1</f>
        <v>3</v>
      </c>
      <c r="N14" s="60" t="s">
        <v>5</v>
      </c>
      <c r="O14" s="221">
        <v>16</v>
      </c>
      <c r="P14" s="30">
        <f aca="true" t="shared" si="11" ref="P14:P46">ABS(B14/C14)</f>
        <v>0.75</v>
      </c>
      <c r="Q14" s="30" t="b">
        <f aca="true" t="shared" si="12" ref="Q14:Q46">P14&gt;F14/200</f>
        <v>1</v>
      </c>
      <c r="R14" s="30">
        <f aca="true" t="shared" si="13" ref="R14:R46">C14/ABS(C14)</f>
        <v>-1</v>
      </c>
      <c r="S14" s="30">
        <f t="shared" si="1"/>
        <v>1.05</v>
      </c>
      <c r="T14" s="30">
        <f t="shared" si="2"/>
        <v>21</v>
      </c>
      <c r="U14" s="30">
        <v>0.826</v>
      </c>
      <c r="V14" s="39">
        <f aca="true" t="shared" si="14" ref="V14:V46">0.5*(0.87+(0.7569-3.386/H14^2)^0.5)</f>
        <v>0.7732688116788704</v>
      </c>
      <c r="W14" s="30">
        <f t="shared" si="3"/>
        <v>4.965277777777779</v>
      </c>
      <c r="X14" s="30">
        <f aca="true" t="shared" si="15" ref="X14:X46">1.33*J14</f>
        <v>6.938415754670964</v>
      </c>
      <c r="Y14" s="30">
        <f aca="true" t="shared" si="16" ref="Y14:Y46">MIN(W14:X14)</f>
        <v>4.965277777777779</v>
      </c>
      <c r="Z14" s="30">
        <f t="shared" si="4"/>
        <v>2.4375</v>
      </c>
    </row>
    <row r="15" spans="1:26" ht="15" customHeight="1">
      <c r="A15" s="161">
        <v>3</v>
      </c>
      <c r="B15" s="162">
        <v>15</v>
      </c>
      <c r="C15" s="162">
        <v>-20</v>
      </c>
      <c r="D15" s="162">
        <v>25</v>
      </c>
      <c r="E15" s="162">
        <v>65</v>
      </c>
      <c r="F15" s="162">
        <v>70</v>
      </c>
      <c r="G15" s="223" t="str">
        <f t="shared" si="5"/>
        <v>Big</v>
      </c>
      <c r="H15" s="42">
        <f t="shared" si="0"/>
        <v>3.3640696017939766</v>
      </c>
      <c r="I15" s="42">
        <f t="shared" si="6"/>
        <v>0.7732688116788704</v>
      </c>
      <c r="J15" s="56">
        <f t="shared" si="7"/>
        <v>5.216853950880424</v>
      </c>
      <c r="K15" s="56">
        <f t="shared" si="8"/>
        <v>4.965277777777779</v>
      </c>
      <c r="L15" s="56">
        <f t="shared" si="9"/>
        <v>5.216853950880424</v>
      </c>
      <c r="M15" s="57">
        <f t="shared" si="10"/>
        <v>3</v>
      </c>
      <c r="N15" s="60" t="s">
        <v>5</v>
      </c>
      <c r="O15" s="221">
        <v>16</v>
      </c>
      <c r="P15" s="30">
        <f t="shared" si="11"/>
        <v>0.75</v>
      </c>
      <c r="Q15" s="30" t="b">
        <f t="shared" si="12"/>
        <v>1</v>
      </c>
      <c r="R15" s="30">
        <f t="shared" si="13"/>
        <v>-1</v>
      </c>
      <c r="S15" s="30">
        <f t="shared" si="1"/>
        <v>1.05</v>
      </c>
      <c r="T15" s="30">
        <f t="shared" si="2"/>
        <v>21</v>
      </c>
      <c r="U15" s="30">
        <v>0.826</v>
      </c>
      <c r="V15" s="39">
        <f t="shared" si="14"/>
        <v>0.7732688116788704</v>
      </c>
      <c r="W15" s="30">
        <f t="shared" si="3"/>
        <v>4.965277777777779</v>
      </c>
      <c r="X15" s="30">
        <f t="shared" si="15"/>
        <v>6.938415754670964</v>
      </c>
      <c r="Y15" s="30">
        <f t="shared" si="16"/>
        <v>4.965277777777779</v>
      </c>
      <c r="Z15" s="30">
        <f t="shared" si="4"/>
        <v>2.4375</v>
      </c>
    </row>
    <row r="16" spans="1:26" ht="15" customHeight="1">
      <c r="A16" s="161">
        <v>4</v>
      </c>
      <c r="B16" s="162">
        <v>15</v>
      </c>
      <c r="C16" s="162">
        <v>-20</v>
      </c>
      <c r="D16" s="162">
        <v>25</v>
      </c>
      <c r="E16" s="162">
        <v>65</v>
      </c>
      <c r="F16" s="162">
        <v>70</v>
      </c>
      <c r="G16" s="223" t="str">
        <f t="shared" si="5"/>
        <v>Big</v>
      </c>
      <c r="H16" s="42">
        <f t="shared" si="0"/>
        <v>3.3640696017939766</v>
      </c>
      <c r="I16" s="42">
        <f t="shared" si="6"/>
        <v>0.7732688116788704</v>
      </c>
      <c r="J16" s="56">
        <f t="shared" si="7"/>
        <v>5.216853950880424</v>
      </c>
      <c r="K16" s="56">
        <f t="shared" si="8"/>
        <v>4.965277777777779</v>
      </c>
      <c r="L16" s="56">
        <f t="shared" si="9"/>
        <v>5.216853950880424</v>
      </c>
      <c r="M16" s="57">
        <f t="shared" si="10"/>
        <v>3</v>
      </c>
      <c r="N16" s="60" t="s">
        <v>5</v>
      </c>
      <c r="O16" s="221">
        <v>16</v>
      </c>
      <c r="P16" s="30">
        <f t="shared" si="11"/>
        <v>0.75</v>
      </c>
      <c r="Q16" s="30" t="b">
        <f t="shared" si="12"/>
        <v>1</v>
      </c>
      <c r="R16" s="30">
        <f t="shared" si="13"/>
        <v>-1</v>
      </c>
      <c r="S16" s="30">
        <f t="shared" si="1"/>
        <v>1.05</v>
      </c>
      <c r="T16" s="30">
        <f t="shared" si="2"/>
        <v>21</v>
      </c>
      <c r="U16" s="30">
        <v>0.826</v>
      </c>
      <c r="V16" s="39">
        <f t="shared" si="14"/>
        <v>0.7732688116788704</v>
      </c>
      <c r="W16" s="30">
        <f t="shared" si="3"/>
        <v>4.965277777777779</v>
      </c>
      <c r="X16" s="30">
        <f t="shared" si="15"/>
        <v>6.938415754670964</v>
      </c>
      <c r="Y16" s="30">
        <f t="shared" si="16"/>
        <v>4.965277777777779</v>
      </c>
      <c r="Z16" s="30">
        <f t="shared" si="4"/>
        <v>2.4375</v>
      </c>
    </row>
    <row r="17" spans="1:26" ht="15" customHeight="1">
      <c r="A17" s="161">
        <v>5</v>
      </c>
      <c r="B17" s="162">
        <v>15</v>
      </c>
      <c r="C17" s="162">
        <v>-20</v>
      </c>
      <c r="D17" s="162">
        <v>25</v>
      </c>
      <c r="E17" s="162">
        <v>65</v>
      </c>
      <c r="F17" s="162">
        <v>70</v>
      </c>
      <c r="G17" s="223" t="str">
        <f t="shared" si="5"/>
        <v>Big</v>
      </c>
      <c r="H17" s="42">
        <f t="shared" si="0"/>
        <v>3.3640696017939766</v>
      </c>
      <c r="I17" s="42">
        <f t="shared" si="6"/>
        <v>0.7732688116788704</v>
      </c>
      <c r="J17" s="56">
        <f t="shared" si="7"/>
        <v>5.216853950880424</v>
      </c>
      <c r="K17" s="56">
        <f t="shared" si="8"/>
        <v>4.965277777777779</v>
      </c>
      <c r="L17" s="56">
        <f t="shared" si="9"/>
        <v>5.216853950880424</v>
      </c>
      <c r="M17" s="57">
        <f t="shared" si="10"/>
        <v>3</v>
      </c>
      <c r="N17" s="60" t="s">
        <v>5</v>
      </c>
      <c r="O17" s="221">
        <v>16</v>
      </c>
      <c r="P17" s="30">
        <f t="shared" si="11"/>
        <v>0.75</v>
      </c>
      <c r="Q17" s="30" t="b">
        <f t="shared" si="12"/>
        <v>1</v>
      </c>
      <c r="R17" s="30">
        <f t="shared" si="13"/>
        <v>-1</v>
      </c>
      <c r="S17" s="30">
        <f t="shared" si="1"/>
        <v>1.05</v>
      </c>
      <c r="T17" s="30">
        <f t="shared" si="2"/>
        <v>21</v>
      </c>
      <c r="U17" s="30">
        <v>0.826</v>
      </c>
      <c r="V17" s="39">
        <f t="shared" si="14"/>
        <v>0.7732688116788704</v>
      </c>
      <c r="W17" s="30">
        <f t="shared" si="3"/>
        <v>4.965277777777779</v>
      </c>
      <c r="X17" s="30">
        <f t="shared" si="15"/>
        <v>6.938415754670964</v>
      </c>
      <c r="Y17" s="30">
        <f t="shared" si="16"/>
        <v>4.965277777777779</v>
      </c>
      <c r="Z17" s="30">
        <f t="shared" si="4"/>
        <v>2.4375</v>
      </c>
    </row>
    <row r="18" spans="1:26" ht="15" customHeight="1">
      <c r="A18" s="161">
        <v>6</v>
      </c>
      <c r="B18" s="162">
        <v>15</v>
      </c>
      <c r="C18" s="162">
        <v>-20</v>
      </c>
      <c r="D18" s="162">
        <v>25</v>
      </c>
      <c r="E18" s="162">
        <v>65</v>
      </c>
      <c r="F18" s="162">
        <v>70</v>
      </c>
      <c r="G18" s="223" t="str">
        <f t="shared" si="5"/>
        <v>Big</v>
      </c>
      <c r="H18" s="42">
        <f t="shared" si="0"/>
        <v>3.3640696017939766</v>
      </c>
      <c r="I18" s="42">
        <f t="shared" si="6"/>
        <v>0.7732688116788704</v>
      </c>
      <c r="J18" s="56">
        <f t="shared" si="7"/>
        <v>5.216853950880424</v>
      </c>
      <c r="K18" s="56">
        <f t="shared" si="8"/>
        <v>4.965277777777779</v>
      </c>
      <c r="L18" s="56">
        <f t="shared" si="9"/>
        <v>5.216853950880424</v>
      </c>
      <c r="M18" s="57">
        <f t="shared" si="10"/>
        <v>3</v>
      </c>
      <c r="N18" s="60" t="s">
        <v>5</v>
      </c>
      <c r="O18" s="221">
        <v>16</v>
      </c>
      <c r="P18" s="30">
        <f t="shared" si="11"/>
        <v>0.75</v>
      </c>
      <c r="Q18" s="30" t="b">
        <f t="shared" si="12"/>
        <v>1</v>
      </c>
      <c r="R18" s="30">
        <f t="shared" si="13"/>
        <v>-1</v>
      </c>
      <c r="S18" s="30">
        <f t="shared" si="1"/>
        <v>1.05</v>
      </c>
      <c r="T18" s="30">
        <f t="shared" si="2"/>
        <v>21</v>
      </c>
      <c r="U18" s="30">
        <v>0.826</v>
      </c>
      <c r="V18" s="39">
        <f t="shared" si="14"/>
        <v>0.7732688116788704</v>
      </c>
      <c r="W18" s="30">
        <f t="shared" si="3"/>
        <v>4.965277777777779</v>
      </c>
      <c r="X18" s="30">
        <f t="shared" si="15"/>
        <v>6.938415754670964</v>
      </c>
      <c r="Y18" s="30">
        <f t="shared" si="16"/>
        <v>4.965277777777779</v>
      </c>
      <c r="Z18" s="30">
        <f t="shared" si="4"/>
        <v>2.4375</v>
      </c>
    </row>
    <row r="19" spans="1:26" ht="15" customHeight="1">
      <c r="A19" s="161">
        <v>7</v>
      </c>
      <c r="B19" s="162">
        <v>15</v>
      </c>
      <c r="C19" s="162">
        <v>-20</v>
      </c>
      <c r="D19" s="162">
        <v>25</v>
      </c>
      <c r="E19" s="162">
        <v>65</v>
      </c>
      <c r="F19" s="162">
        <v>70</v>
      </c>
      <c r="G19" s="223" t="str">
        <f t="shared" si="5"/>
        <v>Big</v>
      </c>
      <c r="H19" s="42">
        <f t="shared" si="0"/>
        <v>3.3640696017939766</v>
      </c>
      <c r="I19" s="42">
        <f t="shared" si="6"/>
        <v>0.7732688116788704</v>
      </c>
      <c r="J19" s="56">
        <f t="shared" si="7"/>
        <v>5.216853950880424</v>
      </c>
      <c r="K19" s="56">
        <f t="shared" si="8"/>
        <v>4.965277777777779</v>
      </c>
      <c r="L19" s="56">
        <f t="shared" si="9"/>
        <v>5.216853950880424</v>
      </c>
      <c r="M19" s="57">
        <f t="shared" si="10"/>
        <v>3</v>
      </c>
      <c r="N19" s="60" t="s">
        <v>5</v>
      </c>
      <c r="O19" s="221">
        <v>16</v>
      </c>
      <c r="P19" s="30">
        <f t="shared" si="11"/>
        <v>0.75</v>
      </c>
      <c r="Q19" s="30" t="b">
        <f t="shared" si="12"/>
        <v>1</v>
      </c>
      <c r="R19" s="30">
        <f t="shared" si="13"/>
        <v>-1</v>
      </c>
      <c r="S19" s="30">
        <f t="shared" si="1"/>
        <v>1.05</v>
      </c>
      <c r="T19" s="30">
        <f t="shared" si="2"/>
        <v>21</v>
      </c>
      <c r="U19" s="30">
        <v>0.826</v>
      </c>
      <c r="V19" s="39">
        <f t="shared" si="14"/>
        <v>0.7732688116788704</v>
      </c>
      <c r="W19" s="30">
        <f t="shared" si="3"/>
        <v>4.965277777777779</v>
      </c>
      <c r="X19" s="30">
        <f t="shared" si="15"/>
        <v>6.938415754670964</v>
      </c>
      <c r="Y19" s="30">
        <f t="shared" si="16"/>
        <v>4.965277777777779</v>
      </c>
      <c r="Z19" s="30">
        <f t="shared" si="4"/>
        <v>2.4375</v>
      </c>
    </row>
    <row r="20" spans="1:26" ht="15" customHeight="1">
      <c r="A20" s="161">
        <v>8</v>
      </c>
      <c r="B20" s="162">
        <v>15</v>
      </c>
      <c r="C20" s="162">
        <v>-20</v>
      </c>
      <c r="D20" s="162">
        <v>25</v>
      </c>
      <c r="E20" s="162">
        <v>65</v>
      </c>
      <c r="F20" s="162">
        <v>70</v>
      </c>
      <c r="G20" s="223" t="str">
        <f t="shared" si="5"/>
        <v>Big</v>
      </c>
      <c r="H20" s="42">
        <f t="shared" si="0"/>
        <v>3.3640696017939766</v>
      </c>
      <c r="I20" s="42">
        <f t="shared" si="6"/>
        <v>0.7732688116788704</v>
      </c>
      <c r="J20" s="56">
        <f t="shared" si="7"/>
        <v>5.216853950880424</v>
      </c>
      <c r="K20" s="56">
        <f t="shared" si="8"/>
        <v>4.965277777777779</v>
      </c>
      <c r="L20" s="56">
        <f t="shared" si="9"/>
        <v>5.216853950880424</v>
      </c>
      <c r="M20" s="57">
        <f t="shared" si="10"/>
        <v>3</v>
      </c>
      <c r="N20" s="60" t="s">
        <v>5</v>
      </c>
      <c r="O20" s="221">
        <v>16</v>
      </c>
      <c r="P20" s="30">
        <f t="shared" si="11"/>
        <v>0.75</v>
      </c>
      <c r="Q20" s="30" t="b">
        <f t="shared" si="12"/>
        <v>1</v>
      </c>
      <c r="R20" s="30">
        <f t="shared" si="13"/>
        <v>-1</v>
      </c>
      <c r="S20" s="30">
        <f t="shared" si="1"/>
        <v>1.05</v>
      </c>
      <c r="T20" s="30">
        <f t="shared" si="2"/>
        <v>21</v>
      </c>
      <c r="U20" s="30">
        <v>0.826</v>
      </c>
      <c r="V20" s="39">
        <f t="shared" si="14"/>
        <v>0.7732688116788704</v>
      </c>
      <c r="W20" s="30">
        <f t="shared" si="3"/>
        <v>4.965277777777779</v>
      </c>
      <c r="X20" s="30">
        <f t="shared" si="15"/>
        <v>6.938415754670964</v>
      </c>
      <c r="Y20" s="30">
        <f t="shared" si="16"/>
        <v>4.965277777777779</v>
      </c>
      <c r="Z20" s="30">
        <f t="shared" si="4"/>
        <v>2.4375</v>
      </c>
    </row>
    <row r="21" spans="1:26" ht="15" customHeight="1">
      <c r="A21" s="161">
        <v>9</v>
      </c>
      <c r="B21" s="162">
        <v>15</v>
      </c>
      <c r="C21" s="162">
        <v>-20</v>
      </c>
      <c r="D21" s="162">
        <v>25</v>
      </c>
      <c r="E21" s="162">
        <v>65</v>
      </c>
      <c r="F21" s="162">
        <v>70</v>
      </c>
      <c r="G21" s="223" t="str">
        <f t="shared" si="5"/>
        <v>Big</v>
      </c>
      <c r="H21" s="42">
        <f t="shared" si="0"/>
        <v>3.3640696017939766</v>
      </c>
      <c r="I21" s="42">
        <f t="shared" si="6"/>
        <v>0.7732688116788704</v>
      </c>
      <c r="J21" s="56">
        <f t="shared" si="7"/>
        <v>5.216853950880424</v>
      </c>
      <c r="K21" s="56">
        <f t="shared" si="8"/>
        <v>4.965277777777779</v>
      </c>
      <c r="L21" s="56">
        <f t="shared" si="9"/>
        <v>5.216853950880424</v>
      </c>
      <c r="M21" s="57">
        <f t="shared" si="10"/>
        <v>3</v>
      </c>
      <c r="N21" s="60" t="s">
        <v>5</v>
      </c>
      <c r="O21" s="221">
        <v>16</v>
      </c>
      <c r="P21" s="30">
        <f t="shared" si="11"/>
        <v>0.75</v>
      </c>
      <c r="Q21" s="30" t="b">
        <f t="shared" si="12"/>
        <v>1</v>
      </c>
      <c r="R21" s="30">
        <f t="shared" si="13"/>
        <v>-1</v>
      </c>
      <c r="S21" s="30">
        <f t="shared" si="1"/>
        <v>1.05</v>
      </c>
      <c r="T21" s="30">
        <f t="shared" si="2"/>
        <v>21</v>
      </c>
      <c r="U21" s="30">
        <v>0.826</v>
      </c>
      <c r="V21" s="39">
        <f t="shared" si="14"/>
        <v>0.7732688116788704</v>
      </c>
      <c r="W21" s="30">
        <f t="shared" si="3"/>
        <v>4.965277777777779</v>
      </c>
      <c r="X21" s="30">
        <f t="shared" si="15"/>
        <v>6.938415754670964</v>
      </c>
      <c r="Y21" s="30">
        <f t="shared" si="16"/>
        <v>4.965277777777779</v>
      </c>
      <c r="Z21" s="30">
        <f t="shared" si="4"/>
        <v>2.4375</v>
      </c>
    </row>
    <row r="22" spans="1:26" ht="15" customHeight="1">
      <c r="A22" s="161">
        <v>10</v>
      </c>
      <c r="B22" s="162">
        <v>15</v>
      </c>
      <c r="C22" s="162">
        <v>-20</v>
      </c>
      <c r="D22" s="162">
        <v>25</v>
      </c>
      <c r="E22" s="162">
        <v>65</v>
      </c>
      <c r="F22" s="162">
        <v>70</v>
      </c>
      <c r="G22" s="223" t="str">
        <f t="shared" si="5"/>
        <v>Big</v>
      </c>
      <c r="H22" s="42">
        <f t="shared" si="0"/>
        <v>3.3640696017939766</v>
      </c>
      <c r="I22" s="42">
        <f t="shared" si="6"/>
        <v>0.7732688116788704</v>
      </c>
      <c r="J22" s="56">
        <f t="shared" si="7"/>
        <v>5.216853950880424</v>
      </c>
      <c r="K22" s="56">
        <f t="shared" si="8"/>
        <v>4.965277777777779</v>
      </c>
      <c r="L22" s="56">
        <f t="shared" si="9"/>
        <v>5.216853950880424</v>
      </c>
      <c r="M22" s="57">
        <f t="shared" si="10"/>
        <v>3</v>
      </c>
      <c r="N22" s="60" t="s">
        <v>5</v>
      </c>
      <c r="O22" s="221">
        <v>16</v>
      </c>
      <c r="P22" s="30">
        <f t="shared" si="11"/>
        <v>0.75</v>
      </c>
      <c r="Q22" s="30" t="b">
        <f t="shared" si="12"/>
        <v>1</v>
      </c>
      <c r="R22" s="30">
        <f t="shared" si="13"/>
        <v>-1</v>
      </c>
      <c r="S22" s="30">
        <f t="shared" si="1"/>
        <v>1.05</v>
      </c>
      <c r="T22" s="30">
        <f t="shared" si="2"/>
        <v>21</v>
      </c>
      <c r="U22" s="30">
        <v>0.826</v>
      </c>
      <c r="V22" s="39">
        <f t="shared" si="14"/>
        <v>0.7732688116788704</v>
      </c>
      <c r="W22" s="30">
        <f t="shared" si="3"/>
        <v>4.965277777777779</v>
      </c>
      <c r="X22" s="30">
        <f t="shared" si="15"/>
        <v>6.938415754670964</v>
      </c>
      <c r="Y22" s="30">
        <f t="shared" si="16"/>
        <v>4.965277777777779</v>
      </c>
      <c r="Z22" s="30">
        <f t="shared" si="4"/>
        <v>2.4375</v>
      </c>
    </row>
    <row r="23" spans="1:26" ht="15" customHeight="1">
      <c r="A23" s="161">
        <v>11</v>
      </c>
      <c r="B23" s="162">
        <v>15</v>
      </c>
      <c r="C23" s="162">
        <v>-20</v>
      </c>
      <c r="D23" s="162">
        <v>25</v>
      </c>
      <c r="E23" s="162">
        <v>65</v>
      </c>
      <c r="F23" s="162">
        <v>70</v>
      </c>
      <c r="G23" s="223" t="str">
        <f t="shared" si="5"/>
        <v>Big</v>
      </c>
      <c r="H23" s="42">
        <f t="shared" si="0"/>
        <v>3.3640696017939766</v>
      </c>
      <c r="I23" s="42">
        <f t="shared" si="6"/>
        <v>0.7732688116788704</v>
      </c>
      <c r="J23" s="56">
        <f t="shared" si="7"/>
        <v>5.216853950880424</v>
      </c>
      <c r="K23" s="56">
        <f t="shared" si="8"/>
        <v>4.965277777777779</v>
      </c>
      <c r="L23" s="56">
        <f t="shared" si="9"/>
        <v>5.216853950880424</v>
      </c>
      <c r="M23" s="57">
        <f t="shared" si="10"/>
        <v>3</v>
      </c>
      <c r="N23" s="60" t="s">
        <v>5</v>
      </c>
      <c r="O23" s="221">
        <v>16</v>
      </c>
      <c r="P23" s="30">
        <f t="shared" si="11"/>
        <v>0.75</v>
      </c>
      <c r="Q23" s="30" t="b">
        <f t="shared" si="12"/>
        <v>1</v>
      </c>
      <c r="R23" s="30">
        <f t="shared" si="13"/>
        <v>-1</v>
      </c>
      <c r="S23" s="30">
        <f t="shared" si="1"/>
        <v>1.05</v>
      </c>
      <c r="T23" s="30">
        <f t="shared" si="2"/>
        <v>21</v>
      </c>
      <c r="U23" s="30">
        <v>0.826</v>
      </c>
      <c r="V23" s="39">
        <f t="shared" si="14"/>
        <v>0.7732688116788704</v>
      </c>
      <c r="W23" s="30">
        <f t="shared" si="3"/>
        <v>4.965277777777779</v>
      </c>
      <c r="X23" s="30">
        <f t="shared" si="15"/>
        <v>6.938415754670964</v>
      </c>
      <c r="Y23" s="30">
        <f t="shared" si="16"/>
        <v>4.965277777777779</v>
      </c>
      <c r="Z23" s="30">
        <f t="shared" si="4"/>
        <v>2.4375</v>
      </c>
    </row>
    <row r="24" spans="1:26" ht="15" customHeight="1">
      <c r="A24" s="161">
        <v>12</v>
      </c>
      <c r="B24" s="162">
        <v>15</v>
      </c>
      <c r="C24" s="162">
        <v>-20</v>
      </c>
      <c r="D24" s="162">
        <v>25</v>
      </c>
      <c r="E24" s="162">
        <v>65</v>
      </c>
      <c r="F24" s="162">
        <v>70</v>
      </c>
      <c r="G24" s="223" t="str">
        <f t="shared" si="5"/>
        <v>Big</v>
      </c>
      <c r="H24" s="42">
        <f t="shared" si="0"/>
        <v>3.3640696017939766</v>
      </c>
      <c r="I24" s="42">
        <f t="shared" si="6"/>
        <v>0.7732688116788704</v>
      </c>
      <c r="J24" s="56">
        <f t="shared" si="7"/>
        <v>5.216853950880424</v>
      </c>
      <c r="K24" s="56">
        <f t="shared" si="8"/>
        <v>4.965277777777779</v>
      </c>
      <c r="L24" s="56">
        <f t="shared" si="9"/>
        <v>5.216853950880424</v>
      </c>
      <c r="M24" s="57">
        <f t="shared" si="10"/>
        <v>3</v>
      </c>
      <c r="N24" s="60" t="s">
        <v>5</v>
      </c>
      <c r="O24" s="221">
        <v>16</v>
      </c>
      <c r="P24" s="30">
        <f t="shared" si="11"/>
        <v>0.75</v>
      </c>
      <c r="Q24" s="30" t="b">
        <f t="shared" si="12"/>
        <v>1</v>
      </c>
      <c r="R24" s="30">
        <f t="shared" si="13"/>
        <v>-1</v>
      </c>
      <c r="S24" s="30">
        <f t="shared" si="1"/>
        <v>1.05</v>
      </c>
      <c r="T24" s="30">
        <f t="shared" si="2"/>
        <v>21</v>
      </c>
      <c r="U24" s="30">
        <v>0.826</v>
      </c>
      <c r="V24" s="39">
        <f t="shared" si="14"/>
        <v>0.7732688116788704</v>
      </c>
      <c r="W24" s="30">
        <f t="shared" si="3"/>
        <v>4.965277777777779</v>
      </c>
      <c r="X24" s="30">
        <f t="shared" si="15"/>
        <v>6.938415754670964</v>
      </c>
      <c r="Y24" s="30">
        <f t="shared" si="16"/>
        <v>4.965277777777779</v>
      </c>
      <c r="Z24" s="30">
        <f t="shared" si="4"/>
        <v>2.4375</v>
      </c>
    </row>
    <row r="25" spans="1:26" ht="15" customHeight="1">
      <c r="A25" s="161">
        <v>13</v>
      </c>
      <c r="B25" s="162">
        <v>15</v>
      </c>
      <c r="C25" s="162">
        <v>-20</v>
      </c>
      <c r="D25" s="162">
        <v>25</v>
      </c>
      <c r="E25" s="162">
        <v>65</v>
      </c>
      <c r="F25" s="162">
        <v>70</v>
      </c>
      <c r="G25" s="223" t="str">
        <f t="shared" si="5"/>
        <v>Big</v>
      </c>
      <c r="H25" s="42">
        <f t="shared" si="0"/>
        <v>3.3640696017939766</v>
      </c>
      <c r="I25" s="42">
        <f t="shared" si="6"/>
        <v>0.7732688116788704</v>
      </c>
      <c r="J25" s="56">
        <f t="shared" si="7"/>
        <v>5.216853950880424</v>
      </c>
      <c r="K25" s="56">
        <f t="shared" si="8"/>
        <v>4.965277777777779</v>
      </c>
      <c r="L25" s="56">
        <f t="shared" si="9"/>
        <v>5.216853950880424</v>
      </c>
      <c r="M25" s="57">
        <f t="shared" si="10"/>
        <v>3</v>
      </c>
      <c r="N25" s="60" t="s">
        <v>5</v>
      </c>
      <c r="O25" s="221">
        <v>16</v>
      </c>
      <c r="P25" s="30">
        <f t="shared" si="11"/>
        <v>0.75</v>
      </c>
      <c r="Q25" s="30" t="b">
        <f t="shared" si="12"/>
        <v>1</v>
      </c>
      <c r="R25" s="30">
        <f t="shared" si="13"/>
        <v>-1</v>
      </c>
      <c r="S25" s="30">
        <f t="shared" si="1"/>
        <v>1.05</v>
      </c>
      <c r="T25" s="30">
        <f t="shared" si="2"/>
        <v>21</v>
      </c>
      <c r="U25" s="30">
        <v>0.826</v>
      </c>
      <c r="V25" s="39">
        <f t="shared" si="14"/>
        <v>0.7732688116788704</v>
      </c>
      <c r="W25" s="30">
        <f t="shared" si="3"/>
        <v>4.965277777777779</v>
      </c>
      <c r="X25" s="30">
        <f t="shared" si="15"/>
        <v>6.938415754670964</v>
      </c>
      <c r="Y25" s="30">
        <f t="shared" si="16"/>
        <v>4.965277777777779</v>
      </c>
      <c r="Z25" s="30">
        <f t="shared" si="4"/>
        <v>2.4375</v>
      </c>
    </row>
    <row r="26" spans="1:26" ht="15" customHeight="1">
      <c r="A26" s="161">
        <v>14</v>
      </c>
      <c r="B26" s="162">
        <v>15</v>
      </c>
      <c r="C26" s="162">
        <v>-20</v>
      </c>
      <c r="D26" s="162">
        <v>25</v>
      </c>
      <c r="E26" s="162">
        <v>65</v>
      </c>
      <c r="F26" s="162">
        <v>70</v>
      </c>
      <c r="G26" s="223" t="str">
        <f t="shared" si="5"/>
        <v>Big</v>
      </c>
      <c r="H26" s="42">
        <f t="shared" si="0"/>
        <v>3.3640696017939766</v>
      </c>
      <c r="I26" s="42">
        <f t="shared" si="6"/>
        <v>0.7732688116788704</v>
      </c>
      <c r="J26" s="56">
        <f t="shared" si="7"/>
        <v>5.216853950880424</v>
      </c>
      <c r="K26" s="56">
        <f t="shared" si="8"/>
        <v>4.965277777777779</v>
      </c>
      <c r="L26" s="56">
        <f t="shared" si="9"/>
        <v>5.216853950880424</v>
      </c>
      <c r="M26" s="57">
        <f t="shared" si="10"/>
        <v>3</v>
      </c>
      <c r="N26" s="60" t="s">
        <v>5</v>
      </c>
      <c r="O26" s="221">
        <v>16</v>
      </c>
      <c r="P26" s="30">
        <f t="shared" si="11"/>
        <v>0.75</v>
      </c>
      <c r="Q26" s="30" t="b">
        <f t="shared" si="12"/>
        <v>1</v>
      </c>
      <c r="R26" s="30">
        <f t="shared" si="13"/>
        <v>-1</v>
      </c>
      <c r="S26" s="30">
        <f t="shared" si="1"/>
        <v>1.05</v>
      </c>
      <c r="T26" s="30">
        <f t="shared" si="2"/>
        <v>21</v>
      </c>
      <c r="U26" s="30">
        <v>0.826</v>
      </c>
      <c r="V26" s="39">
        <f t="shared" si="14"/>
        <v>0.7732688116788704</v>
      </c>
      <c r="W26" s="30">
        <f t="shared" si="3"/>
        <v>4.965277777777779</v>
      </c>
      <c r="X26" s="30">
        <f t="shared" si="15"/>
        <v>6.938415754670964</v>
      </c>
      <c r="Y26" s="30">
        <f t="shared" si="16"/>
        <v>4.965277777777779</v>
      </c>
      <c r="Z26" s="30">
        <f t="shared" si="4"/>
        <v>2.4375</v>
      </c>
    </row>
    <row r="27" spans="1:26" ht="15" customHeight="1">
      <c r="A27" s="161">
        <v>15</v>
      </c>
      <c r="B27" s="162">
        <v>15</v>
      </c>
      <c r="C27" s="162">
        <v>-20</v>
      </c>
      <c r="D27" s="162">
        <v>25</v>
      </c>
      <c r="E27" s="162">
        <v>65</v>
      </c>
      <c r="F27" s="162">
        <v>70</v>
      </c>
      <c r="G27" s="223" t="str">
        <f t="shared" si="5"/>
        <v>Big</v>
      </c>
      <c r="H27" s="42">
        <f t="shared" si="0"/>
        <v>3.3640696017939766</v>
      </c>
      <c r="I27" s="42">
        <f t="shared" si="6"/>
        <v>0.7732688116788704</v>
      </c>
      <c r="J27" s="56">
        <f t="shared" si="7"/>
        <v>5.216853950880424</v>
      </c>
      <c r="K27" s="56">
        <f t="shared" si="8"/>
        <v>4.965277777777779</v>
      </c>
      <c r="L27" s="56">
        <f t="shared" si="9"/>
        <v>5.216853950880424</v>
      </c>
      <c r="M27" s="57">
        <f t="shared" si="10"/>
        <v>3</v>
      </c>
      <c r="N27" s="60" t="s">
        <v>5</v>
      </c>
      <c r="O27" s="221">
        <v>16</v>
      </c>
      <c r="P27" s="30">
        <f t="shared" si="11"/>
        <v>0.75</v>
      </c>
      <c r="Q27" s="30" t="b">
        <f t="shared" si="12"/>
        <v>1</v>
      </c>
      <c r="R27" s="30">
        <f t="shared" si="13"/>
        <v>-1</v>
      </c>
      <c r="S27" s="30">
        <f t="shared" si="1"/>
        <v>1.05</v>
      </c>
      <c r="T27" s="30">
        <f t="shared" si="2"/>
        <v>21</v>
      </c>
      <c r="U27" s="30">
        <v>0.826</v>
      </c>
      <c r="V27" s="39">
        <f t="shared" si="14"/>
        <v>0.7732688116788704</v>
      </c>
      <c r="W27" s="30">
        <f t="shared" si="3"/>
        <v>4.965277777777779</v>
      </c>
      <c r="X27" s="30">
        <f t="shared" si="15"/>
        <v>6.938415754670964</v>
      </c>
      <c r="Y27" s="30">
        <f t="shared" si="16"/>
        <v>4.965277777777779</v>
      </c>
      <c r="Z27" s="30">
        <f t="shared" si="4"/>
        <v>2.4375</v>
      </c>
    </row>
    <row r="28" spans="1:26" ht="15" customHeight="1">
      <c r="A28" s="161">
        <v>16</v>
      </c>
      <c r="B28" s="162">
        <v>15</v>
      </c>
      <c r="C28" s="162">
        <v>-20</v>
      </c>
      <c r="D28" s="162">
        <v>25</v>
      </c>
      <c r="E28" s="162">
        <v>65</v>
      </c>
      <c r="F28" s="162">
        <v>70</v>
      </c>
      <c r="G28" s="223" t="str">
        <f t="shared" si="5"/>
        <v>Big</v>
      </c>
      <c r="H28" s="42">
        <f t="shared" si="0"/>
        <v>3.3640696017939766</v>
      </c>
      <c r="I28" s="42">
        <f t="shared" si="6"/>
        <v>0.7732688116788704</v>
      </c>
      <c r="J28" s="56">
        <f t="shared" si="7"/>
        <v>5.216853950880424</v>
      </c>
      <c r="K28" s="56">
        <f t="shared" si="8"/>
        <v>4.965277777777779</v>
      </c>
      <c r="L28" s="56">
        <f t="shared" si="9"/>
        <v>5.216853950880424</v>
      </c>
      <c r="M28" s="57">
        <f t="shared" si="10"/>
        <v>3</v>
      </c>
      <c r="N28" s="60" t="s">
        <v>5</v>
      </c>
      <c r="O28" s="221">
        <v>16</v>
      </c>
      <c r="P28" s="30">
        <f t="shared" si="11"/>
        <v>0.75</v>
      </c>
      <c r="Q28" s="30" t="b">
        <f t="shared" si="12"/>
        <v>1</v>
      </c>
      <c r="R28" s="30">
        <f t="shared" si="13"/>
        <v>-1</v>
      </c>
      <c r="S28" s="30">
        <f t="shared" si="1"/>
        <v>1.05</v>
      </c>
      <c r="T28" s="30">
        <f t="shared" si="2"/>
        <v>21</v>
      </c>
      <c r="U28" s="30">
        <v>0.826</v>
      </c>
      <c r="V28" s="39">
        <f t="shared" si="14"/>
        <v>0.7732688116788704</v>
      </c>
      <c r="W28" s="30">
        <f t="shared" si="3"/>
        <v>4.965277777777779</v>
      </c>
      <c r="X28" s="30">
        <f t="shared" si="15"/>
        <v>6.938415754670964</v>
      </c>
      <c r="Y28" s="30">
        <f t="shared" si="16"/>
        <v>4.965277777777779</v>
      </c>
      <c r="Z28" s="30">
        <f t="shared" si="4"/>
        <v>2.4375</v>
      </c>
    </row>
    <row r="29" spans="1:26" ht="15" customHeight="1">
      <c r="A29" s="161">
        <v>17</v>
      </c>
      <c r="B29" s="162">
        <v>15</v>
      </c>
      <c r="C29" s="162">
        <v>-20</v>
      </c>
      <c r="D29" s="162">
        <v>25</v>
      </c>
      <c r="E29" s="162">
        <v>65</v>
      </c>
      <c r="F29" s="162">
        <v>70</v>
      </c>
      <c r="G29" s="223" t="str">
        <f t="shared" si="5"/>
        <v>Big</v>
      </c>
      <c r="H29" s="42">
        <f t="shared" si="0"/>
        <v>3.3640696017939766</v>
      </c>
      <c r="I29" s="42">
        <f aca="true" t="shared" si="17" ref="I29:I46">MIN(U29:V29)</f>
        <v>0.7732688116788704</v>
      </c>
      <c r="J29" s="56">
        <f t="shared" si="7"/>
        <v>5.216853950880424</v>
      </c>
      <c r="K29" s="56">
        <f t="shared" si="8"/>
        <v>4.965277777777779</v>
      </c>
      <c r="L29" s="56">
        <f t="shared" si="9"/>
        <v>5.216853950880424</v>
      </c>
      <c r="M29" s="57">
        <f t="shared" si="10"/>
        <v>3</v>
      </c>
      <c r="N29" s="60" t="s">
        <v>5</v>
      </c>
      <c r="O29" s="221">
        <v>16</v>
      </c>
      <c r="P29" s="30">
        <f t="shared" si="11"/>
        <v>0.75</v>
      </c>
      <c r="Q29" s="30" t="b">
        <f t="shared" si="12"/>
        <v>1</v>
      </c>
      <c r="R29" s="30">
        <f t="shared" si="13"/>
        <v>-1</v>
      </c>
      <c r="S29" s="30">
        <f t="shared" si="1"/>
        <v>1.05</v>
      </c>
      <c r="T29" s="30">
        <f t="shared" si="2"/>
        <v>21</v>
      </c>
      <c r="U29" s="30">
        <v>0.826</v>
      </c>
      <c r="V29" s="39">
        <f t="shared" si="14"/>
        <v>0.7732688116788704</v>
      </c>
      <c r="W29" s="30">
        <f t="shared" si="3"/>
        <v>4.965277777777779</v>
      </c>
      <c r="X29" s="30">
        <f t="shared" si="15"/>
        <v>6.938415754670964</v>
      </c>
      <c r="Y29" s="30">
        <f t="shared" si="16"/>
        <v>4.965277777777779</v>
      </c>
      <c r="Z29" s="30">
        <f t="shared" si="4"/>
        <v>2.4375</v>
      </c>
    </row>
    <row r="30" spans="1:26" ht="15" customHeight="1">
      <c r="A30" s="161">
        <v>18</v>
      </c>
      <c r="B30" s="162">
        <v>15</v>
      </c>
      <c r="C30" s="162">
        <v>-20</v>
      </c>
      <c r="D30" s="162">
        <v>25</v>
      </c>
      <c r="E30" s="162">
        <v>65</v>
      </c>
      <c r="F30" s="162">
        <v>70</v>
      </c>
      <c r="G30" s="223" t="str">
        <f t="shared" si="5"/>
        <v>Big</v>
      </c>
      <c r="H30" s="42">
        <f t="shared" si="0"/>
        <v>3.3640696017939766</v>
      </c>
      <c r="I30" s="42">
        <f t="shared" si="17"/>
        <v>0.7732688116788704</v>
      </c>
      <c r="J30" s="56">
        <f t="shared" si="7"/>
        <v>5.216853950880424</v>
      </c>
      <c r="K30" s="56">
        <f t="shared" si="8"/>
        <v>4.965277777777779</v>
      </c>
      <c r="L30" s="56">
        <f t="shared" si="9"/>
        <v>5.216853950880424</v>
      </c>
      <c r="M30" s="57">
        <f t="shared" si="10"/>
        <v>3</v>
      </c>
      <c r="N30" s="60" t="s">
        <v>5</v>
      </c>
      <c r="O30" s="221">
        <v>16</v>
      </c>
      <c r="P30" s="30">
        <f t="shared" si="11"/>
        <v>0.75</v>
      </c>
      <c r="Q30" s="30" t="b">
        <f t="shared" si="12"/>
        <v>1</v>
      </c>
      <c r="R30" s="30">
        <f t="shared" si="13"/>
        <v>-1</v>
      </c>
      <c r="S30" s="30">
        <f t="shared" si="1"/>
        <v>1.05</v>
      </c>
      <c r="T30" s="30">
        <f t="shared" si="2"/>
        <v>21</v>
      </c>
      <c r="U30" s="30">
        <v>0.826</v>
      </c>
      <c r="V30" s="39">
        <f t="shared" si="14"/>
        <v>0.7732688116788704</v>
      </c>
      <c r="W30" s="30">
        <f t="shared" si="3"/>
        <v>4.965277777777779</v>
      </c>
      <c r="X30" s="30">
        <f t="shared" si="15"/>
        <v>6.938415754670964</v>
      </c>
      <c r="Y30" s="30">
        <f t="shared" si="16"/>
        <v>4.965277777777779</v>
      </c>
      <c r="Z30" s="30">
        <f t="shared" si="4"/>
        <v>2.4375</v>
      </c>
    </row>
    <row r="31" spans="1:26" ht="15" customHeight="1">
      <c r="A31" s="161">
        <v>19</v>
      </c>
      <c r="B31" s="162">
        <v>15</v>
      </c>
      <c r="C31" s="162">
        <v>-20</v>
      </c>
      <c r="D31" s="162">
        <v>25</v>
      </c>
      <c r="E31" s="162">
        <v>65</v>
      </c>
      <c r="F31" s="162">
        <v>70</v>
      </c>
      <c r="G31" s="223" t="str">
        <f t="shared" si="5"/>
        <v>Big</v>
      </c>
      <c r="H31" s="42">
        <f t="shared" si="0"/>
        <v>3.3640696017939766</v>
      </c>
      <c r="I31" s="42">
        <f t="shared" si="17"/>
        <v>0.7732688116788704</v>
      </c>
      <c r="J31" s="56">
        <f t="shared" si="7"/>
        <v>5.216853950880424</v>
      </c>
      <c r="K31" s="56">
        <f t="shared" si="8"/>
        <v>4.965277777777779</v>
      </c>
      <c r="L31" s="56">
        <f t="shared" si="9"/>
        <v>5.216853950880424</v>
      </c>
      <c r="M31" s="57">
        <f t="shared" si="10"/>
        <v>3</v>
      </c>
      <c r="N31" s="60" t="s">
        <v>5</v>
      </c>
      <c r="O31" s="221">
        <v>16</v>
      </c>
      <c r="P31" s="30">
        <f t="shared" si="11"/>
        <v>0.75</v>
      </c>
      <c r="Q31" s="30" t="b">
        <f t="shared" si="12"/>
        <v>1</v>
      </c>
      <c r="R31" s="30">
        <f t="shared" si="13"/>
        <v>-1</v>
      </c>
      <c r="S31" s="30">
        <f t="shared" si="1"/>
        <v>1.05</v>
      </c>
      <c r="T31" s="30">
        <f t="shared" si="2"/>
        <v>21</v>
      </c>
      <c r="U31" s="30">
        <v>0.826</v>
      </c>
      <c r="V31" s="39">
        <f t="shared" si="14"/>
        <v>0.7732688116788704</v>
      </c>
      <c r="W31" s="30">
        <f t="shared" si="3"/>
        <v>4.965277777777779</v>
      </c>
      <c r="X31" s="30">
        <f t="shared" si="15"/>
        <v>6.938415754670964</v>
      </c>
      <c r="Y31" s="30">
        <f t="shared" si="16"/>
        <v>4.965277777777779</v>
      </c>
      <c r="Z31" s="30">
        <f t="shared" si="4"/>
        <v>2.4375</v>
      </c>
    </row>
    <row r="32" spans="1:26" ht="15" customHeight="1">
      <c r="A32" s="161">
        <v>20</v>
      </c>
      <c r="B32" s="162">
        <v>15</v>
      </c>
      <c r="C32" s="162">
        <v>-20</v>
      </c>
      <c r="D32" s="162">
        <v>25</v>
      </c>
      <c r="E32" s="162">
        <v>65</v>
      </c>
      <c r="F32" s="162">
        <v>70</v>
      </c>
      <c r="G32" s="223" t="str">
        <f t="shared" si="5"/>
        <v>Big</v>
      </c>
      <c r="H32" s="42">
        <f t="shared" si="0"/>
        <v>3.3640696017939766</v>
      </c>
      <c r="I32" s="42">
        <f t="shared" si="17"/>
        <v>0.7732688116788704</v>
      </c>
      <c r="J32" s="56">
        <f t="shared" si="7"/>
        <v>5.216853950880424</v>
      </c>
      <c r="K32" s="56">
        <f t="shared" si="8"/>
        <v>4.965277777777779</v>
      </c>
      <c r="L32" s="56">
        <f t="shared" si="9"/>
        <v>5.216853950880424</v>
      </c>
      <c r="M32" s="57">
        <f t="shared" si="10"/>
        <v>3</v>
      </c>
      <c r="N32" s="60" t="s">
        <v>5</v>
      </c>
      <c r="O32" s="221">
        <v>16</v>
      </c>
      <c r="P32" s="30">
        <f t="shared" si="11"/>
        <v>0.75</v>
      </c>
      <c r="Q32" s="30" t="b">
        <f t="shared" si="12"/>
        <v>1</v>
      </c>
      <c r="R32" s="30">
        <f t="shared" si="13"/>
        <v>-1</v>
      </c>
      <c r="S32" s="30">
        <f t="shared" si="1"/>
        <v>1.05</v>
      </c>
      <c r="T32" s="30">
        <f t="shared" si="2"/>
        <v>21</v>
      </c>
      <c r="U32" s="30">
        <v>0.826</v>
      </c>
      <c r="V32" s="39">
        <f t="shared" si="14"/>
        <v>0.7732688116788704</v>
      </c>
      <c r="W32" s="30">
        <f t="shared" si="3"/>
        <v>4.965277777777779</v>
      </c>
      <c r="X32" s="30">
        <f t="shared" si="15"/>
        <v>6.938415754670964</v>
      </c>
      <c r="Y32" s="30">
        <f t="shared" si="16"/>
        <v>4.965277777777779</v>
      </c>
      <c r="Z32" s="30">
        <f t="shared" si="4"/>
        <v>2.4375</v>
      </c>
    </row>
    <row r="33" spans="1:26" ht="15" customHeight="1">
      <c r="A33" s="161">
        <v>21</v>
      </c>
      <c r="B33" s="162">
        <v>15</v>
      </c>
      <c r="C33" s="162">
        <v>-20</v>
      </c>
      <c r="D33" s="162">
        <v>25</v>
      </c>
      <c r="E33" s="162">
        <v>65</v>
      </c>
      <c r="F33" s="162">
        <v>70</v>
      </c>
      <c r="G33" s="223" t="str">
        <f t="shared" si="5"/>
        <v>Big</v>
      </c>
      <c r="H33" s="42">
        <f t="shared" si="0"/>
        <v>3.3640696017939766</v>
      </c>
      <c r="I33" s="42">
        <f t="shared" si="17"/>
        <v>0.7732688116788704</v>
      </c>
      <c r="J33" s="56">
        <f t="shared" si="7"/>
        <v>5.216853950880424</v>
      </c>
      <c r="K33" s="56">
        <f t="shared" si="8"/>
        <v>4.965277777777779</v>
      </c>
      <c r="L33" s="56">
        <f t="shared" si="9"/>
        <v>5.216853950880424</v>
      </c>
      <c r="M33" s="57">
        <f t="shared" si="10"/>
        <v>3</v>
      </c>
      <c r="N33" s="60" t="s">
        <v>5</v>
      </c>
      <c r="O33" s="221">
        <v>16</v>
      </c>
      <c r="P33" s="30">
        <f t="shared" si="11"/>
        <v>0.75</v>
      </c>
      <c r="Q33" s="30" t="b">
        <f t="shared" si="12"/>
        <v>1</v>
      </c>
      <c r="R33" s="30">
        <f t="shared" si="13"/>
        <v>-1</v>
      </c>
      <c r="S33" s="30">
        <f t="shared" si="1"/>
        <v>1.05</v>
      </c>
      <c r="T33" s="30">
        <f t="shared" si="2"/>
        <v>21</v>
      </c>
      <c r="U33" s="30">
        <v>0.826</v>
      </c>
      <c r="V33" s="39">
        <f t="shared" si="14"/>
        <v>0.7732688116788704</v>
      </c>
      <c r="W33" s="30">
        <f t="shared" si="3"/>
        <v>4.965277777777779</v>
      </c>
      <c r="X33" s="30">
        <f t="shared" si="15"/>
        <v>6.938415754670964</v>
      </c>
      <c r="Y33" s="30">
        <f t="shared" si="16"/>
        <v>4.965277777777779</v>
      </c>
      <c r="Z33" s="30">
        <f t="shared" si="4"/>
        <v>2.4375</v>
      </c>
    </row>
    <row r="34" spans="1:26" ht="15" customHeight="1">
      <c r="A34" s="161">
        <v>22</v>
      </c>
      <c r="B34" s="162">
        <v>15</v>
      </c>
      <c r="C34" s="162">
        <v>-20</v>
      </c>
      <c r="D34" s="162">
        <v>25</v>
      </c>
      <c r="E34" s="162">
        <v>65</v>
      </c>
      <c r="F34" s="162">
        <v>70</v>
      </c>
      <c r="G34" s="223" t="str">
        <f t="shared" si="5"/>
        <v>Big</v>
      </c>
      <c r="H34" s="42">
        <f t="shared" si="0"/>
        <v>3.3640696017939766</v>
      </c>
      <c r="I34" s="42">
        <f t="shared" si="17"/>
        <v>0.7732688116788704</v>
      </c>
      <c r="J34" s="56">
        <f t="shared" si="7"/>
        <v>5.216853950880424</v>
      </c>
      <c r="K34" s="56">
        <f t="shared" si="8"/>
        <v>4.965277777777779</v>
      </c>
      <c r="L34" s="56">
        <f t="shared" si="9"/>
        <v>5.216853950880424</v>
      </c>
      <c r="M34" s="57">
        <f t="shared" si="10"/>
        <v>3</v>
      </c>
      <c r="N34" s="60" t="s">
        <v>5</v>
      </c>
      <c r="O34" s="221">
        <v>16</v>
      </c>
      <c r="P34" s="30">
        <f t="shared" si="11"/>
        <v>0.75</v>
      </c>
      <c r="Q34" s="30" t="b">
        <f t="shared" si="12"/>
        <v>1</v>
      </c>
      <c r="R34" s="30">
        <f t="shared" si="13"/>
        <v>-1</v>
      </c>
      <c r="S34" s="30">
        <f t="shared" si="1"/>
        <v>1.05</v>
      </c>
      <c r="T34" s="30">
        <f t="shared" si="2"/>
        <v>21</v>
      </c>
      <c r="U34" s="30">
        <v>0.826</v>
      </c>
      <c r="V34" s="39">
        <f t="shared" si="14"/>
        <v>0.7732688116788704</v>
      </c>
      <c r="W34" s="30">
        <f t="shared" si="3"/>
        <v>4.965277777777779</v>
      </c>
      <c r="X34" s="30">
        <f t="shared" si="15"/>
        <v>6.938415754670964</v>
      </c>
      <c r="Y34" s="30">
        <f t="shared" si="16"/>
        <v>4.965277777777779</v>
      </c>
      <c r="Z34" s="30">
        <f t="shared" si="4"/>
        <v>2.4375</v>
      </c>
    </row>
    <row r="35" spans="1:26" ht="15" customHeight="1">
      <c r="A35" s="161">
        <v>23</v>
      </c>
      <c r="B35" s="162">
        <v>15</v>
      </c>
      <c r="C35" s="162">
        <v>-20</v>
      </c>
      <c r="D35" s="162">
        <v>25</v>
      </c>
      <c r="E35" s="162">
        <v>65</v>
      </c>
      <c r="F35" s="162">
        <v>70</v>
      </c>
      <c r="G35" s="223" t="str">
        <f t="shared" si="5"/>
        <v>Big</v>
      </c>
      <c r="H35" s="42">
        <f t="shared" si="0"/>
        <v>3.3640696017939766</v>
      </c>
      <c r="I35" s="42">
        <f t="shared" si="17"/>
        <v>0.7732688116788704</v>
      </c>
      <c r="J35" s="56">
        <f t="shared" si="7"/>
        <v>5.216853950880424</v>
      </c>
      <c r="K35" s="56">
        <f t="shared" si="8"/>
        <v>4.965277777777779</v>
      </c>
      <c r="L35" s="56">
        <f t="shared" si="9"/>
        <v>5.216853950880424</v>
      </c>
      <c r="M35" s="57">
        <f t="shared" si="10"/>
        <v>3</v>
      </c>
      <c r="N35" s="60" t="s">
        <v>5</v>
      </c>
      <c r="O35" s="221">
        <v>16</v>
      </c>
      <c r="P35" s="30">
        <f t="shared" si="11"/>
        <v>0.75</v>
      </c>
      <c r="Q35" s="30" t="b">
        <f t="shared" si="12"/>
        <v>1</v>
      </c>
      <c r="R35" s="30">
        <f t="shared" si="13"/>
        <v>-1</v>
      </c>
      <c r="S35" s="30">
        <f t="shared" si="1"/>
        <v>1.05</v>
      </c>
      <c r="T35" s="30">
        <f t="shared" si="2"/>
        <v>21</v>
      </c>
      <c r="U35" s="30">
        <v>0.826</v>
      </c>
      <c r="V35" s="39">
        <f t="shared" si="14"/>
        <v>0.7732688116788704</v>
      </c>
      <c r="W35" s="30">
        <f t="shared" si="3"/>
        <v>4.965277777777779</v>
      </c>
      <c r="X35" s="30">
        <f t="shared" si="15"/>
        <v>6.938415754670964</v>
      </c>
      <c r="Y35" s="30">
        <f t="shared" si="16"/>
        <v>4.965277777777779</v>
      </c>
      <c r="Z35" s="30">
        <f t="shared" si="4"/>
        <v>2.4375</v>
      </c>
    </row>
    <row r="36" spans="1:26" ht="15" customHeight="1">
      <c r="A36" s="161">
        <v>24</v>
      </c>
      <c r="B36" s="162">
        <v>15</v>
      </c>
      <c r="C36" s="162">
        <v>-20</v>
      </c>
      <c r="D36" s="162">
        <v>25</v>
      </c>
      <c r="E36" s="162">
        <v>65</v>
      </c>
      <c r="F36" s="162">
        <v>70</v>
      </c>
      <c r="G36" s="223" t="str">
        <f t="shared" si="5"/>
        <v>Big</v>
      </c>
      <c r="H36" s="42">
        <f t="shared" si="0"/>
        <v>3.3640696017939766</v>
      </c>
      <c r="I36" s="42">
        <f t="shared" si="17"/>
        <v>0.7732688116788704</v>
      </c>
      <c r="J36" s="56">
        <f t="shared" si="7"/>
        <v>5.216853950880424</v>
      </c>
      <c r="K36" s="56">
        <f t="shared" si="8"/>
        <v>4.965277777777779</v>
      </c>
      <c r="L36" s="56">
        <f t="shared" si="9"/>
        <v>5.216853950880424</v>
      </c>
      <c r="M36" s="57">
        <f t="shared" si="10"/>
        <v>3</v>
      </c>
      <c r="N36" s="60" t="s">
        <v>5</v>
      </c>
      <c r="O36" s="221">
        <v>16</v>
      </c>
      <c r="P36" s="30">
        <f t="shared" si="11"/>
        <v>0.75</v>
      </c>
      <c r="Q36" s="30" t="b">
        <f t="shared" si="12"/>
        <v>1</v>
      </c>
      <c r="R36" s="30">
        <f t="shared" si="13"/>
        <v>-1</v>
      </c>
      <c r="S36" s="30">
        <f t="shared" si="1"/>
        <v>1.05</v>
      </c>
      <c r="T36" s="30">
        <f t="shared" si="2"/>
        <v>21</v>
      </c>
      <c r="U36" s="30">
        <v>0.826</v>
      </c>
      <c r="V36" s="39">
        <f t="shared" si="14"/>
        <v>0.7732688116788704</v>
      </c>
      <c r="W36" s="30">
        <f t="shared" si="3"/>
        <v>4.965277777777779</v>
      </c>
      <c r="X36" s="30">
        <f t="shared" si="15"/>
        <v>6.938415754670964</v>
      </c>
      <c r="Y36" s="30">
        <f t="shared" si="16"/>
        <v>4.965277777777779</v>
      </c>
      <c r="Z36" s="30">
        <f t="shared" si="4"/>
        <v>2.4375</v>
      </c>
    </row>
    <row r="37" spans="1:26" ht="15" customHeight="1">
      <c r="A37" s="161">
        <v>25</v>
      </c>
      <c r="B37" s="162">
        <v>15</v>
      </c>
      <c r="C37" s="162">
        <v>-20</v>
      </c>
      <c r="D37" s="162">
        <v>25</v>
      </c>
      <c r="E37" s="162">
        <v>65</v>
      </c>
      <c r="F37" s="162">
        <v>70</v>
      </c>
      <c r="G37" s="223" t="str">
        <f t="shared" si="5"/>
        <v>Big</v>
      </c>
      <c r="H37" s="42">
        <f t="shared" si="0"/>
        <v>3.3640696017939766</v>
      </c>
      <c r="I37" s="42">
        <f t="shared" si="17"/>
        <v>0.7732688116788704</v>
      </c>
      <c r="J37" s="56">
        <f t="shared" si="7"/>
        <v>5.216853950880424</v>
      </c>
      <c r="K37" s="56">
        <f t="shared" si="8"/>
        <v>4.965277777777779</v>
      </c>
      <c r="L37" s="56">
        <f t="shared" si="9"/>
        <v>5.216853950880424</v>
      </c>
      <c r="M37" s="57">
        <f t="shared" si="10"/>
        <v>3</v>
      </c>
      <c r="N37" s="60" t="s">
        <v>5</v>
      </c>
      <c r="O37" s="221">
        <v>16</v>
      </c>
      <c r="P37" s="30">
        <f t="shared" si="11"/>
        <v>0.75</v>
      </c>
      <c r="Q37" s="30" t="b">
        <f t="shared" si="12"/>
        <v>1</v>
      </c>
      <c r="R37" s="30">
        <f t="shared" si="13"/>
        <v>-1</v>
      </c>
      <c r="S37" s="30">
        <f t="shared" si="1"/>
        <v>1.05</v>
      </c>
      <c r="T37" s="30">
        <f t="shared" si="2"/>
        <v>21</v>
      </c>
      <c r="U37" s="30">
        <v>0.826</v>
      </c>
      <c r="V37" s="39">
        <f t="shared" si="14"/>
        <v>0.7732688116788704</v>
      </c>
      <c r="W37" s="30">
        <f t="shared" si="3"/>
        <v>4.965277777777779</v>
      </c>
      <c r="X37" s="30">
        <f t="shared" si="15"/>
        <v>6.938415754670964</v>
      </c>
      <c r="Y37" s="30">
        <f t="shared" si="16"/>
        <v>4.965277777777779</v>
      </c>
      <c r="Z37" s="30">
        <f t="shared" si="4"/>
        <v>2.4375</v>
      </c>
    </row>
    <row r="38" spans="1:26" ht="15" customHeight="1">
      <c r="A38" s="161">
        <v>26</v>
      </c>
      <c r="B38" s="162">
        <v>15</v>
      </c>
      <c r="C38" s="162">
        <v>-20</v>
      </c>
      <c r="D38" s="162">
        <v>25</v>
      </c>
      <c r="E38" s="162">
        <v>65</v>
      </c>
      <c r="F38" s="162">
        <v>70</v>
      </c>
      <c r="G38" s="223" t="str">
        <f t="shared" si="5"/>
        <v>Big</v>
      </c>
      <c r="H38" s="42">
        <f t="shared" si="0"/>
        <v>3.3640696017939766</v>
      </c>
      <c r="I38" s="42">
        <f t="shared" si="17"/>
        <v>0.7732688116788704</v>
      </c>
      <c r="J38" s="56">
        <f t="shared" si="7"/>
        <v>5.216853950880424</v>
      </c>
      <c r="K38" s="56">
        <f t="shared" si="8"/>
        <v>4.965277777777779</v>
      </c>
      <c r="L38" s="56">
        <f t="shared" si="9"/>
        <v>5.216853950880424</v>
      </c>
      <c r="M38" s="57">
        <f t="shared" si="10"/>
        <v>3</v>
      </c>
      <c r="N38" s="60" t="s">
        <v>5</v>
      </c>
      <c r="O38" s="221">
        <v>16</v>
      </c>
      <c r="P38" s="30">
        <f t="shared" si="11"/>
        <v>0.75</v>
      </c>
      <c r="Q38" s="30" t="b">
        <f t="shared" si="12"/>
        <v>1</v>
      </c>
      <c r="R38" s="30">
        <f t="shared" si="13"/>
        <v>-1</v>
      </c>
      <c r="S38" s="30">
        <f t="shared" si="1"/>
        <v>1.05</v>
      </c>
      <c r="T38" s="30">
        <f t="shared" si="2"/>
        <v>21</v>
      </c>
      <c r="U38" s="30">
        <v>0.826</v>
      </c>
      <c r="V38" s="39">
        <f t="shared" si="14"/>
        <v>0.7732688116788704</v>
      </c>
      <c r="W38" s="30">
        <f t="shared" si="3"/>
        <v>4.965277777777779</v>
      </c>
      <c r="X38" s="30">
        <f t="shared" si="15"/>
        <v>6.938415754670964</v>
      </c>
      <c r="Y38" s="30">
        <f t="shared" si="16"/>
        <v>4.965277777777779</v>
      </c>
      <c r="Z38" s="30">
        <f t="shared" si="4"/>
        <v>2.4375</v>
      </c>
    </row>
    <row r="39" spans="1:26" ht="15" customHeight="1">
      <c r="A39" s="161">
        <v>27</v>
      </c>
      <c r="B39" s="162">
        <v>15</v>
      </c>
      <c r="C39" s="162">
        <v>-20</v>
      </c>
      <c r="D39" s="162">
        <v>25</v>
      </c>
      <c r="E39" s="162">
        <v>65</v>
      </c>
      <c r="F39" s="162">
        <v>70</v>
      </c>
      <c r="G39" s="223" t="str">
        <f t="shared" si="5"/>
        <v>Big</v>
      </c>
      <c r="H39" s="42">
        <f t="shared" si="0"/>
        <v>3.3640696017939766</v>
      </c>
      <c r="I39" s="42">
        <f t="shared" si="17"/>
        <v>0.7732688116788704</v>
      </c>
      <c r="J39" s="56">
        <f t="shared" si="7"/>
        <v>5.216853950880424</v>
      </c>
      <c r="K39" s="56">
        <f t="shared" si="8"/>
        <v>4.965277777777779</v>
      </c>
      <c r="L39" s="56">
        <f t="shared" si="9"/>
        <v>5.216853950880424</v>
      </c>
      <c r="M39" s="57">
        <f t="shared" si="10"/>
        <v>3</v>
      </c>
      <c r="N39" s="60" t="s">
        <v>5</v>
      </c>
      <c r="O39" s="221">
        <v>16</v>
      </c>
      <c r="P39" s="30">
        <f t="shared" si="11"/>
        <v>0.75</v>
      </c>
      <c r="Q39" s="30" t="b">
        <f t="shared" si="12"/>
        <v>1</v>
      </c>
      <c r="R39" s="30">
        <f t="shared" si="13"/>
        <v>-1</v>
      </c>
      <c r="S39" s="30">
        <f t="shared" si="1"/>
        <v>1.05</v>
      </c>
      <c r="T39" s="30">
        <f t="shared" si="2"/>
        <v>21</v>
      </c>
      <c r="U39" s="30">
        <v>0.826</v>
      </c>
      <c r="V39" s="39">
        <f t="shared" si="14"/>
        <v>0.7732688116788704</v>
      </c>
      <c r="W39" s="30">
        <f t="shared" si="3"/>
        <v>4.965277777777779</v>
      </c>
      <c r="X39" s="30">
        <f t="shared" si="15"/>
        <v>6.938415754670964</v>
      </c>
      <c r="Y39" s="30">
        <f t="shared" si="16"/>
        <v>4.965277777777779</v>
      </c>
      <c r="Z39" s="30">
        <f t="shared" si="4"/>
        <v>2.4375</v>
      </c>
    </row>
    <row r="40" spans="1:26" ht="15" customHeight="1">
      <c r="A40" s="161">
        <v>28</v>
      </c>
      <c r="B40" s="162">
        <v>15</v>
      </c>
      <c r="C40" s="162">
        <v>-20</v>
      </c>
      <c r="D40" s="162">
        <v>25</v>
      </c>
      <c r="E40" s="162">
        <v>65</v>
      </c>
      <c r="F40" s="162">
        <v>70</v>
      </c>
      <c r="G40" s="223" t="str">
        <f t="shared" si="5"/>
        <v>Big</v>
      </c>
      <c r="H40" s="42">
        <f t="shared" si="0"/>
        <v>3.3640696017939766</v>
      </c>
      <c r="I40" s="42">
        <f t="shared" si="17"/>
        <v>0.7732688116788704</v>
      </c>
      <c r="J40" s="56">
        <f t="shared" si="7"/>
        <v>5.216853950880424</v>
      </c>
      <c r="K40" s="56">
        <f t="shared" si="8"/>
        <v>4.965277777777779</v>
      </c>
      <c r="L40" s="56">
        <f t="shared" si="9"/>
        <v>5.216853950880424</v>
      </c>
      <c r="M40" s="57">
        <f t="shared" si="10"/>
        <v>3</v>
      </c>
      <c r="N40" s="60" t="s">
        <v>5</v>
      </c>
      <c r="O40" s="221">
        <v>16</v>
      </c>
      <c r="P40" s="30">
        <f t="shared" si="11"/>
        <v>0.75</v>
      </c>
      <c r="Q40" s="30" t="b">
        <f t="shared" si="12"/>
        <v>1</v>
      </c>
      <c r="R40" s="30">
        <f t="shared" si="13"/>
        <v>-1</v>
      </c>
      <c r="S40" s="30">
        <f t="shared" si="1"/>
        <v>1.05</v>
      </c>
      <c r="T40" s="30">
        <f t="shared" si="2"/>
        <v>21</v>
      </c>
      <c r="U40" s="30">
        <v>0.826</v>
      </c>
      <c r="V40" s="39">
        <f t="shared" si="14"/>
        <v>0.7732688116788704</v>
      </c>
      <c r="W40" s="30">
        <f t="shared" si="3"/>
        <v>4.965277777777779</v>
      </c>
      <c r="X40" s="30">
        <f t="shared" si="15"/>
        <v>6.938415754670964</v>
      </c>
      <c r="Y40" s="30">
        <f t="shared" si="16"/>
        <v>4.965277777777779</v>
      </c>
      <c r="Z40" s="30">
        <f t="shared" si="4"/>
        <v>2.4375</v>
      </c>
    </row>
    <row r="41" spans="1:26" ht="15" customHeight="1">
      <c r="A41" s="161">
        <v>29</v>
      </c>
      <c r="B41" s="162">
        <v>15</v>
      </c>
      <c r="C41" s="162">
        <v>-20</v>
      </c>
      <c r="D41" s="162">
        <v>25</v>
      </c>
      <c r="E41" s="162">
        <v>65</v>
      </c>
      <c r="F41" s="162">
        <v>70</v>
      </c>
      <c r="G41" s="223" t="str">
        <f t="shared" si="5"/>
        <v>Big</v>
      </c>
      <c r="H41" s="42">
        <f t="shared" si="0"/>
        <v>3.3640696017939766</v>
      </c>
      <c r="I41" s="42">
        <f t="shared" si="17"/>
        <v>0.7732688116788704</v>
      </c>
      <c r="J41" s="56">
        <f t="shared" si="7"/>
        <v>5.216853950880424</v>
      </c>
      <c r="K41" s="56">
        <f t="shared" si="8"/>
        <v>4.965277777777779</v>
      </c>
      <c r="L41" s="56">
        <f t="shared" si="9"/>
        <v>5.216853950880424</v>
      </c>
      <c r="M41" s="57">
        <f t="shared" si="10"/>
        <v>3</v>
      </c>
      <c r="N41" s="60" t="s">
        <v>5</v>
      </c>
      <c r="O41" s="221">
        <v>16</v>
      </c>
      <c r="P41" s="30">
        <f t="shared" si="11"/>
        <v>0.75</v>
      </c>
      <c r="Q41" s="30" t="b">
        <f t="shared" si="12"/>
        <v>1</v>
      </c>
      <c r="R41" s="30">
        <f t="shared" si="13"/>
        <v>-1</v>
      </c>
      <c r="S41" s="30">
        <f t="shared" si="1"/>
        <v>1.05</v>
      </c>
      <c r="T41" s="30">
        <f t="shared" si="2"/>
        <v>21</v>
      </c>
      <c r="U41" s="30">
        <v>0.826</v>
      </c>
      <c r="V41" s="39">
        <f t="shared" si="14"/>
        <v>0.7732688116788704</v>
      </c>
      <c r="W41" s="30">
        <f t="shared" si="3"/>
        <v>4.965277777777779</v>
      </c>
      <c r="X41" s="30">
        <f t="shared" si="15"/>
        <v>6.938415754670964</v>
      </c>
      <c r="Y41" s="30">
        <f t="shared" si="16"/>
        <v>4.965277777777779</v>
      </c>
      <c r="Z41" s="30">
        <f t="shared" si="4"/>
        <v>2.4375</v>
      </c>
    </row>
    <row r="42" spans="1:26" ht="15" customHeight="1">
      <c r="A42" s="161">
        <v>30</v>
      </c>
      <c r="B42" s="162">
        <v>15</v>
      </c>
      <c r="C42" s="162">
        <v>-20</v>
      </c>
      <c r="D42" s="162">
        <v>25</v>
      </c>
      <c r="E42" s="162">
        <v>65</v>
      </c>
      <c r="F42" s="162">
        <v>70</v>
      </c>
      <c r="G42" s="223" t="str">
        <f t="shared" si="5"/>
        <v>Big</v>
      </c>
      <c r="H42" s="42">
        <f t="shared" si="0"/>
        <v>3.3640696017939766</v>
      </c>
      <c r="I42" s="42">
        <f t="shared" si="17"/>
        <v>0.7732688116788704</v>
      </c>
      <c r="J42" s="56">
        <f t="shared" si="7"/>
        <v>5.216853950880424</v>
      </c>
      <c r="K42" s="56">
        <f t="shared" si="8"/>
        <v>4.965277777777779</v>
      </c>
      <c r="L42" s="56">
        <f t="shared" si="9"/>
        <v>5.216853950880424</v>
      </c>
      <c r="M42" s="57">
        <f t="shared" si="10"/>
        <v>3</v>
      </c>
      <c r="N42" s="60" t="s">
        <v>5</v>
      </c>
      <c r="O42" s="221">
        <v>16</v>
      </c>
      <c r="P42" s="30">
        <f t="shared" si="11"/>
        <v>0.75</v>
      </c>
      <c r="Q42" s="30" t="b">
        <f t="shared" si="12"/>
        <v>1</v>
      </c>
      <c r="R42" s="30">
        <f t="shared" si="13"/>
        <v>-1</v>
      </c>
      <c r="S42" s="30">
        <f t="shared" si="1"/>
        <v>1.05</v>
      </c>
      <c r="T42" s="30">
        <f t="shared" si="2"/>
        <v>21</v>
      </c>
      <c r="U42" s="30">
        <v>0.826</v>
      </c>
      <c r="V42" s="39">
        <f t="shared" si="14"/>
        <v>0.7732688116788704</v>
      </c>
      <c r="W42" s="30">
        <f t="shared" si="3"/>
        <v>4.965277777777779</v>
      </c>
      <c r="X42" s="30">
        <f t="shared" si="15"/>
        <v>6.938415754670964</v>
      </c>
      <c r="Y42" s="30">
        <f t="shared" si="16"/>
        <v>4.965277777777779</v>
      </c>
      <c r="Z42" s="30">
        <f t="shared" si="4"/>
        <v>2.4375</v>
      </c>
    </row>
    <row r="43" spans="1:26" ht="15" customHeight="1">
      <c r="A43" s="161">
        <v>31</v>
      </c>
      <c r="B43" s="162">
        <v>15</v>
      </c>
      <c r="C43" s="162">
        <v>-20</v>
      </c>
      <c r="D43" s="162">
        <v>25</v>
      </c>
      <c r="E43" s="162">
        <v>65</v>
      </c>
      <c r="F43" s="162">
        <v>70</v>
      </c>
      <c r="G43" s="223" t="str">
        <f t="shared" si="5"/>
        <v>Big</v>
      </c>
      <c r="H43" s="42">
        <f t="shared" si="0"/>
        <v>3.3640696017939766</v>
      </c>
      <c r="I43" s="42">
        <f t="shared" si="17"/>
        <v>0.7732688116788704</v>
      </c>
      <c r="J43" s="56">
        <f t="shared" si="7"/>
        <v>5.216853950880424</v>
      </c>
      <c r="K43" s="56">
        <f t="shared" si="8"/>
        <v>4.965277777777779</v>
      </c>
      <c r="L43" s="56">
        <f t="shared" si="9"/>
        <v>5.216853950880424</v>
      </c>
      <c r="M43" s="57">
        <f t="shared" si="10"/>
        <v>3</v>
      </c>
      <c r="N43" s="60" t="s">
        <v>5</v>
      </c>
      <c r="O43" s="221">
        <v>16</v>
      </c>
      <c r="P43" s="30">
        <f t="shared" si="11"/>
        <v>0.75</v>
      </c>
      <c r="Q43" s="30" t="b">
        <f t="shared" si="12"/>
        <v>1</v>
      </c>
      <c r="R43" s="30">
        <f t="shared" si="13"/>
        <v>-1</v>
      </c>
      <c r="S43" s="30">
        <f t="shared" si="1"/>
        <v>1.05</v>
      </c>
      <c r="T43" s="30">
        <f t="shared" si="2"/>
        <v>21</v>
      </c>
      <c r="U43" s="30">
        <v>0.826</v>
      </c>
      <c r="V43" s="39">
        <f t="shared" si="14"/>
        <v>0.7732688116788704</v>
      </c>
      <c r="W43" s="30">
        <f t="shared" si="3"/>
        <v>4.965277777777779</v>
      </c>
      <c r="X43" s="30">
        <f t="shared" si="15"/>
        <v>6.938415754670964</v>
      </c>
      <c r="Y43" s="30">
        <f t="shared" si="16"/>
        <v>4.965277777777779</v>
      </c>
      <c r="Z43" s="30">
        <f t="shared" si="4"/>
        <v>2.4375</v>
      </c>
    </row>
    <row r="44" spans="1:26" ht="15" customHeight="1">
      <c r="A44" s="161">
        <v>32</v>
      </c>
      <c r="B44" s="162">
        <v>15</v>
      </c>
      <c r="C44" s="162">
        <v>-20</v>
      </c>
      <c r="D44" s="162">
        <v>25</v>
      </c>
      <c r="E44" s="162">
        <v>65</v>
      </c>
      <c r="F44" s="162">
        <v>70</v>
      </c>
      <c r="G44" s="223" t="str">
        <f t="shared" si="5"/>
        <v>Big</v>
      </c>
      <c r="H44" s="42">
        <f t="shared" si="0"/>
        <v>3.3640696017939766</v>
      </c>
      <c r="I44" s="42">
        <f t="shared" si="17"/>
        <v>0.7732688116788704</v>
      </c>
      <c r="J44" s="56">
        <f t="shared" si="7"/>
        <v>5.216853950880424</v>
      </c>
      <c r="K44" s="56">
        <f t="shared" si="8"/>
        <v>4.965277777777779</v>
      </c>
      <c r="L44" s="56">
        <f t="shared" si="9"/>
        <v>5.216853950880424</v>
      </c>
      <c r="M44" s="57">
        <f t="shared" si="10"/>
        <v>3</v>
      </c>
      <c r="N44" s="60" t="s">
        <v>5</v>
      </c>
      <c r="O44" s="221">
        <v>16</v>
      </c>
      <c r="P44" s="30">
        <f t="shared" si="11"/>
        <v>0.75</v>
      </c>
      <c r="Q44" s="30" t="b">
        <f t="shared" si="12"/>
        <v>1</v>
      </c>
      <c r="R44" s="30">
        <f t="shared" si="13"/>
        <v>-1</v>
      </c>
      <c r="S44" s="30">
        <f t="shared" si="1"/>
        <v>1.05</v>
      </c>
      <c r="T44" s="30">
        <f t="shared" si="2"/>
        <v>21</v>
      </c>
      <c r="U44" s="30">
        <v>0.826</v>
      </c>
      <c r="V44" s="39">
        <f t="shared" si="14"/>
        <v>0.7732688116788704</v>
      </c>
      <c r="W44" s="30">
        <f t="shared" si="3"/>
        <v>4.965277777777779</v>
      </c>
      <c r="X44" s="30">
        <f t="shared" si="15"/>
        <v>6.938415754670964</v>
      </c>
      <c r="Y44" s="30">
        <f t="shared" si="16"/>
        <v>4.965277777777779</v>
      </c>
      <c r="Z44" s="30">
        <f t="shared" si="4"/>
        <v>2.4375</v>
      </c>
    </row>
    <row r="45" spans="1:26" ht="15" customHeight="1">
      <c r="A45" s="161">
        <v>33</v>
      </c>
      <c r="B45" s="162">
        <v>15</v>
      </c>
      <c r="C45" s="162">
        <v>-20</v>
      </c>
      <c r="D45" s="162">
        <v>25</v>
      </c>
      <c r="E45" s="162">
        <v>65</v>
      </c>
      <c r="F45" s="162">
        <v>70</v>
      </c>
      <c r="G45" s="223" t="str">
        <f t="shared" si="5"/>
        <v>Big</v>
      </c>
      <c r="H45" s="42">
        <f t="shared" si="0"/>
        <v>3.3640696017939766</v>
      </c>
      <c r="I45" s="42">
        <f t="shared" si="17"/>
        <v>0.7732688116788704</v>
      </c>
      <c r="J45" s="56">
        <f t="shared" si="7"/>
        <v>5.216853950880424</v>
      </c>
      <c r="K45" s="56">
        <f t="shared" si="8"/>
        <v>4.965277777777779</v>
      </c>
      <c r="L45" s="56">
        <f t="shared" si="9"/>
        <v>5.216853950880424</v>
      </c>
      <c r="M45" s="57">
        <f t="shared" si="10"/>
        <v>3</v>
      </c>
      <c r="N45" s="60" t="s">
        <v>5</v>
      </c>
      <c r="O45" s="221">
        <v>16</v>
      </c>
      <c r="P45" s="30">
        <f t="shared" si="11"/>
        <v>0.75</v>
      </c>
      <c r="Q45" s="30" t="b">
        <f t="shared" si="12"/>
        <v>1</v>
      </c>
      <c r="R45" s="30">
        <f t="shared" si="13"/>
        <v>-1</v>
      </c>
      <c r="S45" s="30">
        <f t="shared" si="1"/>
        <v>1.05</v>
      </c>
      <c r="T45" s="30">
        <f t="shared" si="2"/>
        <v>21</v>
      </c>
      <c r="U45" s="30">
        <v>0.826</v>
      </c>
      <c r="V45" s="39">
        <f t="shared" si="14"/>
        <v>0.7732688116788704</v>
      </c>
      <c r="W45" s="30">
        <f t="shared" si="3"/>
        <v>4.965277777777779</v>
      </c>
      <c r="X45" s="30">
        <f t="shared" si="15"/>
        <v>6.938415754670964</v>
      </c>
      <c r="Y45" s="30">
        <f t="shared" si="16"/>
        <v>4.965277777777779</v>
      </c>
      <c r="Z45" s="30">
        <f t="shared" si="4"/>
        <v>2.4375</v>
      </c>
    </row>
    <row r="46" spans="1:26" ht="15" customHeight="1" thickBot="1">
      <c r="A46" s="163">
        <v>34</v>
      </c>
      <c r="B46" s="160">
        <v>15</v>
      </c>
      <c r="C46" s="160">
        <v>-20</v>
      </c>
      <c r="D46" s="160">
        <v>25</v>
      </c>
      <c r="E46" s="160">
        <v>65</v>
      </c>
      <c r="F46" s="160">
        <v>70</v>
      </c>
      <c r="G46" s="224" t="str">
        <f t="shared" si="5"/>
        <v>Big</v>
      </c>
      <c r="H46" s="37">
        <f t="shared" si="0"/>
        <v>3.3640696017939766</v>
      </c>
      <c r="I46" s="37">
        <f t="shared" si="17"/>
        <v>0.7732688116788704</v>
      </c>
      <c r="J46" s="62">
        <f t="shared" si="7"/>
        <v>5.216853950880424</v>
      </c>
      <c r="K46" s="62">
        <f t="shared" si="8"/>
        <v>4.965277777777779</v>
      </c>
      <c r="L46" s="62">
        <f t="shared" si="9"/>
        <v>5.216853950880424</v>
      </c>
      <c r="M46" s="63">
        <f t="shared" si="10"/>
        <v>3</v>
      </c>
      <c r="N46" s="64" t="s">
        <v>5</v>
      </c>
      <c r="O46" s="222">
        <v>16</v>
      </c>
      <c r="P46" s="30">
        <f t="shared" si="11"/>
        <v>0.75</v>
      </c>
      <c r="Q46" s="30" t="b">
        <f t="shared" si="12"/>
        <v>1</v>
      </c>
      <c r="R46" s="30">
        <f t="shared" si="13"/>
        <v>-1</v>
      </c>
      <c r="S46" s="30">
        <f t="shared" si="1"/>
        <v>1.05</v>
      </c>
      <c r="T46" s="30">
        <f t="shared" si="2"/>
        <v>21</v>
      </c>
      <c r="U46" s="30">
        <v>0.826</v>
      </c>
      <c r="V46" s="39">
        <f t="shared" si="14"/>
        <v>0.7732688116788704</v>
      </c>
      <c r="W46" s="30">
        <f t="shared" si="3"/>
        <v>4.965277777777779</v>
      </c>
      <c r="X46" s="30">
        <f t="shared" si="15"/>
        <v>6.938415754670964</v>
      </c>
      <c r="Y46" s="30">
        <f t="shared" si="16"/>
        <v>4.965277777777779</v>
      </c>
      <c r="Z46" s="30">
        <f t="shared" si="4"/>
        <v>2.4375</v>
      </c>
    </row>
  </sheetData>
  <sheetProtection sheet="1" objects="1" scenarios="1"/>
  <mergeCells count="6">
    <mergeCell ref="C4:O4"/>
    <mergeCell ref="A11:A12"/>
    <mergeCell ref="G11:G12"/>
    <mergeCell ref="H11:H12"/>
    <mergeCell ref="I11:I12"/>
    <mergeCell ref="M11:O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&amp;R&amp;"Arial,Bold Italic"&amp;9Concrete design using the ultimate limit design method.</oddHeader>
    <oddFooter>&amp;L&amp;"Arial,Bold Italic"&amp;9By: Eng. Mahmoud El-Kateb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0">
      <selection activeCell="J22" sqref="J22"/>
    </sheetView>
  </sheetViews>
  <sheetFormatPr defaultColWidth="9.140625" defaultRowHeight="12.75"/>
  <cols>
    <col min="1" max="1" width="4.57421875" style="30" customWidth="1"/>
    <col min="2" max="2" width="15.8515625" style="30" customWidth="1"/>
    <col min="3" max="3" width="7.7109375" style="30" customWidth="1"/>
    <col min="4" max="4" width="7.421875" style="30" customWidth="1"/>
    <col min="5" max="5" width="8.140625" style="38" customWidth="1"/>
    <col min="6" max="6" width="7.421875" style="30" customWidth="1"/>
    <col min="7" max="7" width="6.8515625" style="30" customWidth="1"/>
    <col min="8" max="8" width="5.00390625" style="30" customWidth="1"/>
    <col min="9" max="9" width="4.140625" style="30" customWidth="1"/>
    <col min="10" max="10" width="5.28125" style="38" customWidth="1"/>
    <col min="11" max="11" width="10.57421875" style="30" customWidth="1"/>
    <col min="12" max="13" width="9.140625" style="30" hidden="1" customWidth="1"/>
    <col min="14" max="14" width="9.140625" style="30" customWidth="1"/>
    <col min="15" max="15" width="6.140625" style="30" customWidth="1"/>
    <col min="16" max="16384" width="9.140625" style="30" customWidth="1"/>
  </cols>
  <sheetData>
    <row r="1" ht="22.5">
      <c r="A1" s="34" t="s">
        <v>40</v>
      </c>
    </row>
    <row r="2" ht="12" customHeight="1">
      <c r="A2" s="81"/>
    </row>
    <row r="4" spans="1:256" ht="18.75">
      <c r="A4" s="36"/>
      <c r="B4" s="35" t="s">
        <v>33</v>
      </c>
      <c r="C4" s="249"/>
      <c r="D4" s="249"/>
      <c r="E4" s="249"/>
      <c r="F4" s="249"/>
      <c r="G4" s="249"/>
      <c r="H4" s="249"/>
      <c r="I4" s="249"/>
      <c r="J4" s="249"/>
      <c r="K4" s="249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ht="13.5" thickBot="1">
      <c r="N6" s="51"/>
    </row>
    <row r="7" spans="2:4" ht="22.5" customHeight="1" thickTop="1">
      <c r="B7" s="52" t="s">
        <v>9</v>
      </c>
      <c r="C7" s="165">
        <v>300</v>
      </c>
      <c r="D7" s="53" t="s">
        <v>8</v>
      </c>
    </row>
    <row r="8" spans="2:4" ht="22.5" customHeight="1">
      <c r="B8" s="82" t="s">
        <v>14</v>
      </c>
      <c r="C8" s="176">
        <f>0.75*(C7/1.5)^0.5</f>
        <v>10.606601717798213</v>
      </c>
      <c r="D8" s="83" t="s">
        <v>8</v>
      </c>
    </row>
    <row r="9" spans="2:4" ht="22.5" customHeight="1" thickBot="1">
      <c r="B9" s="54" t="s">
        <v>81</v>
      </c>
      <c r="C9" s="166">
        <v>3600</v>
      </c>
      <c r="D9" s="55" t="s">
        <v>8</v>
      </c>
    </row>
    <row r="10" spans="2:4" ht="15.75" thickTop="1">
      <c r="B10" s="50"/>
      <c r="C10" s="40"/>
      <c r="D10" s="50"/>
    </row>
    <row r="11" ht="13.5" thickBot="1"/>
    <row r="12" spans="1:11" ht="15" customHeight="1">
      <c r="A12" s="247" t="s">
        <v>10</v>
      </c>
      <c r="B12" s="6" t="s">
        <v>15</v>
      </c>
      <c r="C12" s="6" t="s">
        <v>6</v>
      </c>
      <c r="D12" s="6" t="s">
        <v>7</v>
      </c>
      <c r="E12" s="16" t="s">
        <v>157</v>
      </c>
      <c r="F12" s="19" t="s">
        <v>2</v>
      </c>
      <c r="G12" s="24" t="s">
        <v>11</v>
      </c>
      <c r="H12" s="281" t="s">
        <v>205</v>
      </c>
      <c r="I12" s="282"/>
      <c r="J12" s="283"/>
      <c r="K12" s="279" t="s">
        <v>13</v>
      </c>
    </row>
    <row r="13" spans="1:11" ht="17.25" customHeight="1" thickBot="1">
      <c r="A13" s="248"/>
      <c r="B13" s="8" t="s">
        <v>58</v>
      </c>
      <c r="C13" s="8" t="s">
        <v>3</v>
      </c>
      <c r="D13" s="8" t="s">
        <v>4</v>
      </c>
      <c r="E13" s="17" t="s">
        <v>179</v>
      </c>
      <c r="F13" s="17" t="s">
        <v>16</v>
      </c>
      <c r="G13" s="25" t="s">
        <v>17</v>
      </c>
      <c r="H13" s="284"/>
      <c r="I13" s="285"/>
      <c r="J13" s="286"/>
      <c r="K13" s="280"/>
    </row>
    <row r="14" spans="1:13" ht="15" customHeight="1">
      <c r="A14" s="161">
        <v>1</v>
      </c>
      <c r="B14" s="162">
        <v>56.5</v>
      </c>
      <c r="C14" s="162">
        <v>25</v>
      </c>
      <c r="D14" s="162">
        <v>100</v>
      </c>
      <c r="E14" s="84">
        <f>B14*1000/C14/D14</f>
        <v>22.6</v>
      </c>
      <c r="F14" s="42">
        <f>(E14-0.5*$C$8)*1.15*C14/$C$9</f>
        <v>0.13813336119629185</v>
      </c>
      <c r="G14" s="177">
        <v>2</v>
      </c>
      <c r="H14" s="79">
        <f>INT(F14*100/G14/M14)+1</f>
        <v>9</v>
      </c>
      <c r="I14" s="75" t="s">
        <v>5</v>
      </c>
      <c r="J14" s="179">
        <v>10</v>
      </c>
      <c r="K14" s="85" t="str">
        <f>IF(L14,"unsafe","safe")</f>
        <v>safe</v>
      </c>
      <c r="L14" s="30" t="b">
        <f>E14&gt;3*$C$8</f>
        <v>0</v>
      </c>
      <c r="M14" s="39">
        <f>3.14*J14^2/4/100</f>
        <v>0.785</v>
      </c>
    </row>
    <row r="15" spans="1:13" ht="15" customHeight="1">
      <c r="A15" s="161">
        <v>2</v>
      </c>
      <c r="B15" s="162">
        <v>41.65</v>
      </c>
      <c r="C15" s="162">
        <v>25</v>
      </c>
      <c r="D15" s="162">
        <v>100</v>
      </c>
      <c r="E15" s="86">
        <f aca="true" t="shared" si="0" ref="E15:E46">B15*1000/C15/D15</f>
        <v>16.66</v>
      </c>
      <c r="F15" s="42">
        <f aca="true" t="shared" si="1" ref="F15:F45">(E15-0.5*$C$8)*1.15*C15/$C$9</f>
        <v>0.09069586119629185</v>
      </c>
      <c r="G15" s="177">
        <v>2</v>
      </c>
      <c r="H15" s="79">
        <f aca="true" t="shared" si="2" ref="H15:H46">INT(F15*100/G15/M15)+1</f>
        <v>6</v>
      </c>
      <c r="I15" s="60" t="s">
        <v>5</v>
      </c>
      <c r="J15" s="180">
        <v>10</v>
      </c>
      <c r="K15" s="85" t="str">
        <f aca="true" t="shared" si="3" ref="K15:K46">IF(L15,"unsafe","safe")</f>
        <v>safe</v>
      </c>
      <c r="L15" s="30" t="b">
        <f aca="true" t="shared" si="4" ref="L15:L46">E15&gt;3*$C$8</f>
        <v>0</v>
      </c>
      <c r="M15" s="39">
        <f aca="true" t="shared" si="5" ref="M15:M45">3.14*J15^2/4/100</f>
        <v>0.785</v>
      </c>
    </row>
    <row r="16" spans="1:13" ht="15" customHeight="1">
      <c r="A16" s="161">
        <v>3</v>
      </c>
      <c r="B16" s="162">
        <v>37.5</v>
      </c>
      <c r="C16" s="162">
        <v>25</v>
      </c>
      <c r="D16" s="162">
        <v>100</v>
      </c>
      <c r="E16" s="86">
        <f t="shared" si="0"/>
        <v>15</v>
      </c>
      <c r="F16" s="42">
        <f t="shared" si="1"/>
        <v>0.0774389167518474</v>
      </c>
      <c r="G16" s="177">
        <v>2</v>
      </c>
      <c r="H16" s="79">
        <f t="shared" si="2"/>
        <v>5</v>
      </c>
      <c r="I16" s="60" t="s">
        <v>5</v>
      </c>
      <c r="J16" s="180">
        <v>10</v>
      </c>
      <c r="K16" s="85" t="str">
        <f t="shared" si="3"/>
        <v>safe</v>
      </c>
      <c r="L16" s="30" t="b">
        <f t="shared" si="4"/>
        <v>0</v>
      </c>
      <c r="M16" s="39">
        <f t="shared" si="5"/>
        <v>0.785</v>
      </c>
    </row>
    <row r="17" spans="1:13" ht="15" customHeight="1">
      <c r="A17" s="161">
        <v>4</v>
      </c>
      <c r="B17" s="162">
        <v>27.3</v>
      </c>
      <c r="C17" s="162">
        <v>25</v>
      </c>
      <c r="D17" s="162">
        <v>100</v>
      </c>
      <c r="E17" s="86">
        <f t="shared" si="0"/>
        <v>10.92</v>
      </c>
      <c r="F17" s="42">
        <f t="shared" si="1"/>
        <v>0.04485558341851408</v>
      </c>
      <c r="G17" s="177">
        <v>2</v>
      </c>
      <c r="H17" s="79">
        <f t="shared" si="2"/>
        <v>5</v>
      </c>
      <c r="I17" s="60" t="s">
        <v>5</v>
      </c>
      <c r="J17" s="180">
        <v>8</v>
      </c>
      <c r="K17" s="85" t="str">
        <f t="shared" si="3"/>
        <v>safe</v>
      </c>
      <c r="L17" s="30" t="b">
        <f t="shared" si="4"/>
        <v>0</v>
      </c>
      <c r="M17" s="39">
        <f t="shared" si="5"/>
        <v>0.5024000000000001</v>
      </c>
    </row>
    <row r="18" spans="1:13" ht="15" customHeight="1">
      <c r="A18" s="161">
        <v>5</v>
      </c>
      <c r="B18" s="162">
        <v>51</v>
      </c>
      <c r="C18" s="162">
        <v>25</v>
      </c>
      <c r="D18" s="162">
        <v>100</v>
      </c>
      <c r="E18" s="86">
        <f t="shared" si="0"/>
        <v>20.4</v>
      </c>
      <c r="F18" s="42">
        <f t="shared" si="1"/>
        <v>0.1205639167518474</v>
      </c>
      <c r="G18" s="177">
        <v>2</v>
      </c>
      <c r="H18" s="79">
        <f t="shared" si="2"/>
        <v>8</v>
      </c>
      <c r="I18" s="60" t="s">
        <v>5</v>
      </c>
      <c r="J18" s="180">
        <v>10</v>
      </c>
      <c r="K18" s="85" t="str">
        <f t="shared" si="3"/>
        <v>safe</v>
      </c>
      <c r="L18" s="30" t="b">
        <f t="shared" si="4"/>
        <v>0</v>
      </c>
      <c r="M18" s="39">
        <f t="shared" si="5"/>
        <v>0.785</v>
      </c>
    </row>
    <row r="19" spans="1:13" ht="15" customHeight="1">
      <c r="A19" s="161">
        <v>6</v>
      </c>
      <c r="B19" s="162">
        <v>23</v>
      </c>
      <c r="C19" s="162">
        <v>25</v>
      </c>
      <c r="D19" s="162">
        <v>100</v>
      </c>
      <c r="E19" s="86">
        <f t="shared" si="0"/>
        <v>9.2</v>
      </c>
      <c r="F19" s="42">
        <f t="shared" si="1"/>
        <v>0.031119472307402963</v>
      </c>
      <c r="G19" s="177">
        <v>2</v>
      </c>
      <c r="H19" s="79">
        <f t="shared" si="2"/>
        <v>4</v>
      </c>
      <c r="I19" s="60" t="s">
        <v>5</v>
      </c>
      <c r="J19" s="180">
        <v>8</v>
      </c>
      <c r="K19" s="85" t="str">
        <f t="shared" si="3"/>
        <v>safe</v>
      </c>
      <c r="L19" s="30" t="b">
        <f t="shared" si="4"/>
        <v>0</v>
      </c>
      <c r="M19" s="39">
        <f t="shared" si="5"/>
        <v>0.5024000000000001</v>
      </c>
    </row>
    <row r="20" spans="1:13" ht="15" customHeight="1">
      <c r="A20" s="161">
        <v>7</v>
      </c>
      <c r="B20" s="162">
        <v>84.2</v>
      </c>
      <c r="C20" s="162">
        <v>25</v>
      </c>
      <c r="D20" s="162">
        <v>125</v>
      </c>
      <c r="E20" s="86">
        <f t="shared" si="0"/>
        <v>26.944</v>
      </c>
      <c r="F20" s="42">
        <f t="shared" si="1"/>
        <v>0.1728250278629585</v>
      </c>
      <c r="G20" s="177">
        <v>2</v>
      </c>
      <c r="H20" s="79">
        <f t="shared" si="2"/>
        <v>8</v>
      </c>
      <c r="I20" s="60" t="s">
        <v>5</v>
      </c>
      <c r="J20" s="180">
        <v>12</v>
      </c>
      <c r="K20" s="85" t="str">
        <f t="shared" si="3"/>
        <v>safe</v>
      </c>
      <c r="L20" s="30" t="b">
        <f t="shared" si="4"/>
        <v>0</v>
      </c>
      <c r="M20" s="39">
        <f t="shared" si="5"/>
        <v>1.1304</v>
      </c>
    </row>
    <row r="21" spans="1:13" ht="15" customHeight="1">
      <c r="A21" s="161">
        <v>8</v>
      </c>
      <c r="B21" s="162">
        <v>63.2</v>
      </c>
      <c r="C21" s="162">
        <v>25</v>
      </c>
      <c r="D21" s="162">
        <v>125</v>
      </c>
      <c r="E21" s="86">
        <f t="shared" si="0"/>
        <v>20.224</v>
      </c>
      <c r="F21" s="42">
        <f t="shared" si="1"/>
        <v>0.11915836119629185</v>
      </c>
      <c r="G21" s="177">
        <v>2</v>
      </c>
      <c r="H21" s="79">
        <f t="shared" si="2"/>
        <v>8</v>
      </c>
      <c r="I21" s="60" t="s">
        <v>5</v>
      </c>
      <c r="J21" s="180">
        <v>10</v>
      </c>
      <c r="K21" s="85" t="str">
        <f t="shared" si="3"/>
        <v>safe</v>
      </c>
      <c r="L21" s="30" t="b">
        <f t="shared" si="4"/>
        <v>0</v>
      </c>
      <c r="M21" s="39">
        <f t="shared" si="5"/>
        <v>0.785</v>
      </c>
    </row>
    <row r="22" spans="1:13" ht="15" customHeight="1">
      <c r="A22" s="161">
        <v>9</v>
      </c>
      <c r="B22" s="162">
        <v>15</v>
      </c>
      <c r="C22" s="162">
        <v>25</v>
      </c>
      <c r="D22" s="162">
        <v>65</v>
      </c>
      <c r="E22" s="86">
        <f t="shared" si="0"/>
        <v>9.23076923076923</v>
      </c>
      <c r="F22" s="42">
        <f t="shared" si="1"/>
        <v>0.03136519880312945</v>
      </c>
      <c r="G22" s="177">
        <v>2</v>
      </c>
      <c r="H22" s="79">
        <f t="shared" si="2"/>
        <v>4</v>
      </c>
      <c r="I22" s="60" t="s">
        <v>5</v>
      </c>
      <c r="J22" s="180">
        <v>8</v>
      </c>
      <c r="K22" s="85" t="str">
        <f t="shared" si="3"/>
        <v>safe</v>
      </c>
      <c r="L22" s="30" t="b">
        <f t="shared" si="4"/>
        <v>0</v>
      </c>
      <c r="M22" s="39">
        <f t="shared" si="5"/>
        <v>0.5024000000000001</v>
      </c>
    </row>
    <row r="23" spans="1:13" ht="15" customHeight="1">
      <c r="A23" s="161">
        <v>10</v>
      </c>
      <c r="B23" s="162">
        <v>15</v>
      </c>
      <c r="C23" s="162">
        <v>25</v>
      </c>
      <c r="D23" s="162">
        <v>65</v>
      </c>
      <c r="E23" s="86">
        <f t="shared" si="0"/>
        <v>9.23076923076923</v>
      </c>
      <c r="F23" s="42">
        <f t="shared" si="1"/>
        <v>0.03136519880312945</v>
      </c>
      <c r="G23" s="177">
        <v>2</v>
      </c>
      <c r="H23" s="79">
        <f t="shared" si="2"/>
        <v>4</v>
      </c>
      <c r="I23" s="60" t="s">
        <v>5</v>
      </c>
      <c r="J23" s="180">
        <v>8</v>
      </c>
      <c r="K23" s="85" t="str">
        <f t="shared" si="3"/>
        <v>safe</v>
      </c>
      <c r="L23" s="30" t="b">
        <f t="shared" si="4"/>
        <v>0</v>
      </c>
      <c r="M23" s="39">
        <f t="shared" si="5"/>
        <v>0.5024000000000001</v>
      </c>
    </row>
    <row r="24" spans="1:13" ht="15" customHeight="1">
      <c r="A24" s="161">
        <v>11</v>
      </c>
      <c r="B24" s="162">
        <v>15</v>
      </c>
      <c r="C24" s="162">
        <v>25</v>
      </c>
      <c r="D24" s="162">
        <v>65</v>
      </c>
      <c r="E24" s="86">
        <f t="shared" si="0"/>
        <v>9.23076923076923</v>
      </c>
      <c r="F24" s="42">
        <f t="shared" si="1"/>
        <v>0.03136519880312945</v>
      </c>
      <c r="G24" s="177">
        <v>2</v>
      </c>
      <c r="H24" s="79">
        <f t="shared" si="2"/>
        <v>4</v>
      </c>
      <c r="I24" s="60" t="s">
        <v>5</v>
      </c>
      <c r="J24" s="180">
        <v>8</v>
      </c>
      <c r="K24" s="85" t="str">
        <f t="shared" si="3"/>
        <v>safe</v>
      </c>
      <c r="L24" s="30" t="b">
        <f t="shared" si="4"/>
        <v>0</v>
      </c>
      <c r="M24" s="39">
        <f t="shared" si="5"/>
        <v>0.5024000000000001</v>
      </c>
    </row>
    <row r="25" spans="1:13" ht="15" customHeight="1">
      <c r="A25" s="161">
        <v>12</v>
      </c>
      <c r="B25" s="162">
        <v>15</v>
      </c>
      <c r="C25" s="162">
        <v>25</v>
      </c>
      <c r="D25" s="162">
        <v>65</v>
      </c>
      <c r="E25" s="86">
        <f t="shared" si="0"/>
        <v>9.23076923076923</v>
      </c>
      <c r="F25" s="42">
        <f t="shared" si="1"/>
        <v>0.03136519880312945</v>
      </c>
      <c r="G25" s="177">
        <v>2</v>
      </c>
      <c r="H25" s="79">
        <f t="shared" si="2"/>
        <v>4</v>
      </c>
      <c r="I25" s="60" t="s">
        <v>5</v>
      </c>
      <c r="J25" s="180">
        <v>8</v>
      </c>
      <c r="K25" s="85" t="str">
        <f t="shared" si="3"/>
        <v>safe</v>
      </c>
      <c r="L25" s="30" t="b">
        <f t="shared" si="4"/>
        <v>0</v>
      </c>
      <c r="M25" s="39">
        <f t="shared" si="5"/>
        <v>0.5024000000000001</v>
      </c>
    </row>
    <row r="26" spans="1:13" ht="15" customHeight="1">
      <c r="A26" s="161">
        <v>13</v>
      </c>
      <c r="B26" s="162">
        <v>15</v>
      </c>
      <c r="C26" s="162">
        <v>25</v>
      </c>
      <c r="D26" s="162">
        <v>65</v>
      </c>
      <c r="E26" s="86">
        <f t="shared" si="0"/>
        <v>9.23076923076923</v>
      </c>
      <c r="F26" s="42">
        <f t="shared" si="1"/>
        <v>0.03136519880312945</v>
      </c>
      <c r="G26" s="177">
        <v>2</v>
      </c>
      <c r="H26" s="79">
        <f t="shared" si="2"/>
        <v>4</v>
      </c>
      <c r="I26" s="60" t="s">
        <v>5</v>
      </c>
      <c r="J26" s="180">
        <v>8</v>
      </c>
      <c r="K26" s="85" t="str">
        <f t="shared" si="3"/>
        <v>safe</v>
      </c>
      <c r="L26" s="30" t="b">
        <f t="shared" si="4"/>
        <v>0</v>
      </c>
      <c r="M26" s="39">
        <f t="shared" si="5"/>
        <v>0.5024000000000001</v>
      </c>
    </row>
    <row r="27" spans="1:13" ht="15" customHeight="1">
      <c r="A27" s="161">
        <v>14</v>
      </c>
      <c r="B27" s="162">
        <v>15</v>
      </c>
      <c r="C27" s="162">
        <v>25</v>
      </c>
      <c r="D27" s="162">
        <v>65</v>
      </c>
      <c r="E27" s="86">
        <f t="shared" si="0"/>
        <v>9.23076923076923</v>
      </c>
      <c r="F27" s="42">
        <f t="shared" si="1"/>
        <v>0.03136519880312945</v>
      </c>
      <c r="G27" s="177">
        <v>2</v>
      </c>
      <c r="H27" s="79">
        <f t="shared" si="2"/>
        <v>4</v>
      </c>
      <c r="I27" s="60" t="s">
        <v>5</v>
      </c>
      <c r="J27" s="180">
        <v>8</v>
      </c>
      <c r="K27" s="85" t="str">
        <f t="shared" si="3"/>
        <v>safe</v>
      </c>
      <c r="L27" s="30" t="b">
        <f t="shared" si="4"/>
        <v>0</v>
      </c>
      <c r="M27" s="39">
        <f t="shared" si="5"/>
        <v>0.5024000000000001</v>
      </c>
    </row>
    <row r="28" spans="1:13" ht="15" customHeight="1">
      <c r="A28" s="161">
        <v>15</v>
      </c>
      <c r="B28" s="162">
        <v>15</v>
      </c>
      <c r="C28" s="162">
        <v>25</v>
      </c>
      <c r="D28" s="162">
        <v>65</v>
      </c>
      <c r="E28" s="86">
        <f t="shared" si="0"/>
        <v>9.23076923076923</v>
      </c>
      <c r="F28" s="42">
        <f t="shared" si="1"/>
        <v>0.03136519880312945</v>
      </c>
      <c r="G28" s="177">
        <v>2</v>
      </c>
      <c r="H28" s="79">
        <f t="shared" si="2"/>
        <v>4</v>
      </c>
      <c r="I28" s="60" t="s">
        <v>5</v>
      </c>
      <c r="J28" s="180">
        <v>8</v>
      </c>
      <c r="K28" s="85" t="str">
        <f t="shared" si="3"/>
        <v>safe</v>
      </c>
      <c r="L28" s="30" t="b">
        <f t="shared" si="4"/>
        <v>0</v>
      </c>
      <c r="M28" s="39">
        <f t="shared" si="5"/>
        <v>0.5024000000000001</v>
      </c>
    </row>
    <row r="29" spans="1:13" ht="15" customHeight="1">
      <c r="A29" s="161">
        <v>16</v>
      </c>
      <c r="B29" s="162">
        <v>15</v>
      </c>
      <c r="C29" s="162">
        <v>25</v>
      </c>
      <c r="D29" s="162">
        <v>65</v>
      </c>
      <c r="E29" s="86">
        <f t="shared" si="0"/>
        <v>9.23076923076923</v>
      </c>
      <c r="F29" s="42">
        <f t="shared" si="1"/>
        <v>0.03136519880312945</v>
      </c>
      <c r="G29" s="177">
        <v>2</v>
      </c>
      <c r="H29" s="79">
        <f t="shared" si="2"/>
        <v>4</v>
      </c>
      <c r="I29" s="60" t="s">
        <v>5</v>
      </c>
      <c r="J29" s="180">
        <v>8</v>
      </c>
      <c r="K29" s="85" t="str">
        <f t="shared" si="3"/>
        <v>safe</v>
      </c>
      <c r="L29" s="30" t="b">
        <f t="shared" si="4"/>
        <v>0</v>
      </c>
      <c r="M29" s="39">
        <f t="shared" si="5"/>
        <v>0.5024000000000001</v>
      </c>
    </row>
    <row r="30" spans="1:13" ht="15" customHeight="1">
      <c r="A30" s="161">
        <v>17</v>
      </c>
      <c r="B30" s="162">
        <v>15</v>
      </c>
      <c r="C30" s="162">
        <v>25</v>
      </c>
      <c r="D30" s="162">
        <v>65</v>
      </c>
      <c r="E30" s="86">
        <f t="shared" si="0"/>
        <v>9.23076923076923</v>
      </c>
      <c r="F30" s="42">
        <f t="shared" si="1"/>
        <v>0.03136519880312945</v>
      </c>
      <c r="G30" s="177">
        <v>2</v>
      </c>
      <c r="H30" s="79">
        <f t="shared" si="2"/>
        <v>4</v>
      </c>
      <c r="I30" s="60" t="s">
        <v>5</v>
      </c>
      <c r="J30" s="180">
        <v>8</v>
      </c>
      <c r="K30" s="85" t="str">
        <f t="shared" si="3"/>
        <v>safe</v>
      </c>
      <c r="L30" s="30" t="b">
        <f t="shared" si="4"/>
        <v>0</v>
      </c>
      <c r="M30" s="39">
        <f t="shared" si="5"/>
        <v>0.5024000000000001</v>
      </c>
    </row>
    <row r="31" spans="1:13" ht="15" customHeight="1">
      <c r="A31" s="161">
        <v>18</v>
      </c>
      <c r="B31" s="162">
        <v>15</v>
      </c>
      <c r="C31" s="162">
        <v>25</v>
      </c>
      <c r="D31" s="162">
        <v>65</v>
      </c>
      <c r="E31" s="86">
        <f t="shared" si="0"/>
        <v>9.23076923076923</v>
      </c>
      <c r="F31" s="42">
        <f t="shared" si="1"/>
        <v>0.03136519880312945</v>
      </c>
      <c r="G31" s="177">
        <v>2</v>
      </c>
      <c r="H31" s="79">
        <f t="shared" si="2"/>
        <v>4</v>
      </c>
      <c r="I31" s="60" t="s">
        <v>5</v>
      </c>
      <c r="J31" s="180">
        <v>8</v>
      </c>
      <c r="K31" s="85" t="str">
        <f t="shared" si="3"/>
        <v>safe</v>
      </c>
      <c r="L31" s="30" t="b">
        <f t="shared" si="4"/>
        <v>0</v>
      </c>
      <c r="M31" s="39">
        <f t="shared" si="5"/>
        <v>0.5024000000000001</v>
      </c>
    </row>
    <row r="32" spans="1:13" ht="15" customHeight="1">
      <c r="A32" s="161">
        <v>19</v>
      </c>
      <c r="B32" s="162">
        <v>15</v>
      </c>
      <c r="C32" s="162">
        <v>25</v>
      </c>
      <c r="D32" s="162">
        <v>65</v>
      </c>
      <c r="E32" s="86">
        <f t="shared" si="0"/>
        <v>9.23076923076923</v>
      </c>
      <c r="F32" s="42">
        <f t="shared" si="1"/>
        <v>0.03136519880312945</v>
      </c>
      <c r="G32" s="177">
        <v>2</v>
      </c>
      <c r="H32" s="79">
        <f t="shared" si="2"/>
        <v>4</v>
      </c>
      <c r="I32" s="60" t="s">
        <v>5</v>
      </c>
      <c r="J32" s="180">
        <v>8</v>
      </c>
      <c r="K32" s="85" t="str">
        <f t="shared" si="3"/>
        <v>safe</v>
      </c>
      <c r="L32" s="30" t="b">
        <f t="shared" si="4"/>
        <v>0</v>
      </c>
      <c r="M32" s="39">
        <f t="shared" si="5"/>
        <v>0.5024000000000001</v>
      </c>
    </row>
    <row r="33" spans="1:13" ht="15" customHeight="1">
      <c r="A33" s="161">
        <v>20</v>
      </c>
      <c r="B33" s="162">
        <v>15</v>
      </c>
      <c r="C33" s="162">
        <v>25</v>
      </c>
      <c r="D33" s="162">
        <v>65</v>
      </c>
      <c r="E33" s="86">
        <f t="shared" si="0"/>
        <v>9.23076923076923</v>
      </c>
      <c r="F33" s="42">
        <f t="shared" si="1"/>
        <v>0.03136519880312945</v>
      </c>
      <c r="G33" s="177">
        <v>2</v>
      </c>
      <c r="H33" s="79">
        <f t="shared" si="2"/>
        <v>4</v>
      </c>
      <c r="I33" s="60" t="s">
        <v>5</v>
      </c>
      <c r="J33" s="180">
        <v>8</v>
      </c>
      <c r="K33" s="85" t="str">
        <f t="shared" si="3"/>
        <v>safe</v>
      </c>
      <c r="L33" s="30" t="b">
        <f t="shared" si="4"/>
        <v>0</v>
      </c>
      <c r="M33" s="39">
        <f t="shared" si="5"/>
        <v>0.5024000000000001</v>
      </c>
    </row>
    <row r="34" spans="1:13" ht="15" customHeight="1">
      <c r="A34" s="161">
        <v>21</v>
      </c>
      <c r="B34" s="162">
        <v>15</v>
      </c>
      <c r="C34" s="162">
        <v>25</v>
      </c>
      <c r="D34" s="162">
        <v>65</v>
      </c>
      <c r="E34" s="86">
        <f t="shared" si="0"/>
        <v>9.23076923076923</v>
      </c>
      <c r="F34" s="42">
        <f t="shared" si="1"/>
        <v>0.03136519880312945</v>
      </c>
      <c r="G34" s="177">
        <v>2</v>
      </c>
      <c r="H34" s="79">
        <f t="shared" si="2"/>
        <v>4</v>
      </c>
      <c r="I34" s="60" t="s">
        <v>5</v>
      </c>
      <c r="J34" s="180">
        <v>8</v>
      </c>
      <c r="K34" s="85" t="str">
        <f t="shared" si="3"/>
        <v>safe</v>
      </c>
      <c r="L34" s="30" t="b">
        <f t="shared" si="4"/>
        <v>0</v>
      </c>
      <c r="M34" s="39">
        <f t="shared" si="5"/>
        <v>0.5024000000000001</v>
      </c>
    </row>
    <row r="35" spans="1:13" ht="15" customHeight="1">
      <c r="A35" s="161">
        <v>22</v>
      </c>
      <c r="B35" s="162">
        <v>15</v>
      </c>
      <c r="C35" s="162">
        <v>25</v>
      </c>
      <c r="D35" s="162">
        <v>65</v>
      </c>
      <c r="E35" s="86">
        <f t="shared" si="0"/>
        <v>9.23076923076923</v>
      </c>
      <c r="F35" s="42">
        <f t="shared" si="1"/>
        <v>0.03136519880312945</v>
      </c>
      <c r="G35" s="177">
        <v>2</v>
      </c>
      <c r="H35" s="79">
        <f t="shared" si="2"/>
        <v>4</v>
      </c>
      <c r="I35" s="60" t="s">
        <v>5</v>
      </c>
      <c r="J35" s="180">
        <v>8</v>
      </c>
      <c r="K35" s="85" t="str">
        <f t="shared" si="3"/>
        <v>safe</v>
      </c>
      <c r="L35" s="30" t="b">
        <f t="shared" si="4"/>
        <v>0</v>
      </c>
      <c r="M35" s="39">
        <f t="shared" si="5"/>
        <v>0.5024000000000001</v>
      </c>
    </row>
    <row r="36" spans="1:13" ht="15" customHeight="1">
      <c r="A36" s="161">
        <v>23</v>
      </c>
      <c r="B36" s="162">
        <v>15</v>
      </c>
      <c r="C36" s="162">
        <v>25</v>
      </c>
      <c r="D36" s="162">
        <v>65</v>
      </c>
      <c r="E36" s="86">
        <f t="shared" si="0"/>
        <v>9.23076923076923</v>
      </c>
      <c r="F36" s="42">
        <f t="shared" si="1"/>
        <v>0.03136519880312945</v>
      </c>
      <c r="G36" s="177">
        <v>2</v>
      </c>
      <c r="H36" s="79">
        <f t="shared" si="2"/>
        <v>4</v>
      </c>
      <c r="I36" s="60" t="s">
        <v>5</v>
      </c>
      <c r="J36" s="180">
        <v>8</v>
      </c>
      <c r="K36" s="85" t="str">
        <f t="shared" si="3"/>
        <v>safe</v>
      </c>
      <c r="L36" s="30" t="b">
        <f t="shared" si="4"/>
        <v>0</v>
      </c>
      <c r="M36" s="39">
        <f t="shared" si="5"/>
        <v>0.5024000000000001</v>
      </c>
    </row>
    <row r="37" spans="1:13" ht="15" customHeight="1">
      <c r="A37" s="161">
        <v>24</v>
      </c>
      <c r="B37" s="162">
        <v>15</v>
      </c>
      <c r="C37" s="162">
        <v>25</v>
      </c>
      <c r="D37" s="162">
        <v>65</v>
      </c>
      <c r="E37" s="86">
        <f t="shared" si="0"/>
        <v>9.23076923076923</v>
      </c>
      <c r="F37" s="42">
        <f t="shared" si="1"/>
        <v>0.03136519880312945</v>
      </c>
      <c r="G37" s="177">
        <v>2</v>
      </c>
      <c r="H37" s="79">
        <f t="shared" si="2"/>
        <v>4</v>
      </c>
      <c r="I37" s="60" t="s">
        <v>5</v>
      </c>
      <c r="J37" s="180">
        <v>8</v>
      </c>
      <c r="K37" s="85" t="str">
        <f t="shared" si="3"/>
        <v>safe</v>
      </c>
      <c r="L37" s="30" t="b">
        <f t="shared" si="4"/>
        <v>0</v>
      </c>
      <c r="M37" s="39">
        <f t="shared" si="5"/>
        <v>0.5024000000000001</v>
      </c>
    </row>
    <row r="38" spans="1:13" ht="15" customHeight="1">
      <c r="A38" s="161">
        <v>25</v>
      </c>
      <c r="B38" s="162">
        <v>15</v>
      </c>
      <c r="C38" s="162">
        <v>25</v>
      </c>
      <c r="D38" s="162">
        <v>65</v>
      </c>
      <c r="E38" s="86">
        <f t="shared" si="0"/>
        <v>9.23076923076923</v>
      </c>
      <c r="F38" s="42">
        <f t="shared" si="1"/>
        <v>0.03136519880312945</v>
      </c>
      <c r="G38" s="177">
        <v>2</v>
      </c>
      <c r="H38" s="79">
        <f t="shared" si="2"/>
        <v>4</v>
      </c>
      <c r="I38" s="60" t="s">
        <v>5</v>
      </c>
      <c r="J38" s="180">
        <v>8</v>
      </c>
      <c r="K38" s="85" t="str">
        <f t="shared" si="3"/>
        <v>safe</v>
      </c>
      <c r="L38" s="30" t="b">
        <f t="shared" si="4"/>
        <v>0</v>
      </c>
      <c r="M38" s="39">
        <f t="shared" si="5"/>
        <v>0.5024000000000001</v>
      </c>
    </row>
    <row r="39" spans="1:13" ht="15" customHeight="1">
      <c r="A39" s="161">
        <v>26</v>
      </c>
      <c r="B39" s="162">
        <v>15</v>
      </c>
      <c r="C39" s="162">
        <v>25</v>
      </c>
      <c r="D39" s="162">
        <v>65</v>
      </c>
      <c r="E39" s="86">
        <f t="shared" si="0"/>
        <v>9.23076923076923</v>
      </c>
      <c r="F39" s="42">
        <f t="shared" si="1"/>
        <v>0.03136519880312945</v>
      </c>
      <c r="G39" s="177">
        <v>2</v>
      </c>
      <c r="H39" s="79">
        <f t="shared" si="2"/>
        <v>4</v>
      </c>
      <c r="I39" s="60" t="s">
        <v>5</v>
      </c>
      <c r="J39" s="180">
        <v>8</v>
      </c>
      <c r="K39" s="85" t="str">
        <f t="shared" si="3"/>
        <v>safe</v>
      </c>
      <c r="L39" s="30" t="b">
        <f t="shared" si="4"/>
        <v>0</v>
      </c>
      <c r="M39" s="39">
        <f t="shared" si="5"/>
        <v>0.5024000000000001</v>
      </c>
    </row>
    <row r="40" spans="1:13" ht="15" customHeight="1">
      <c r="A40" s="161">
        <v>27</v>
      </c>
      <c r="B40" s="162">
        <v>15</v>
      </c>
      <c r="C40" s="162">
        <v>25</v>
      </c>
      <c r="D40" s="162">
        <v>65</v>
      </c>
      <c r="E40" s="86">
        <f t="shared" si="0"/>
        <v>9.23076923076923</v>
      </c>
      <c r="F40" s="42">
        <f t="shared" si="1"/>
        <v>0.03136519880312945</v>
      </c>
      <c r="G40" s="177">
        <v>2</v>
      </c>
      <c r="H40" s="79">
        <f t="shared" si="2"/>
        <v>4</v>
      </c>
      <c r="I40" s="60" t="s">
        <v>5</v>
      </c>
      <c r="J40" s="180">
        <v>8</v>
      </c>
      <c r="K40" s="85" t="str">
        <f t="shared" si="3"/>
        <v>safe</v>
      </c>
      <c r="L40" s="30" t="b">
        <f t="shared" si="4"/>
        <v>0</v>
      </c>
      <c r="M40" s="39">
        <f t="shared" si="5"/>
        <v>0.5024000000000001</v>
      </c>
    </row>
    <row r="41" spans="1:13" ht="15" customHeight="1">
      <c r="A41" s="161">
        <v>28</v>
      </c>
      <c r="B41" s="162">
        <v>15</v>
      </c>
      <c r="C41" s="162">
        <v>25</v>
      </c>
      <c r="D41" s="162">
        <v>65</v>
      </c>
      <c r="E41" s="86">
        <f t="shared" si="0"/>
        <v>9.23076923076923</v>
      </c>
      <c r="F41" s="42">
        <f t="shared" si="1"/>
        <v>0.03136519880312945</v>
      </c>
      <c r="G41" s="177">
        <v>2</v>
      </c>
      <c r="H41" s="79">
        <f t="shared" si="2"/>
        <v>4</v>
      </c>
      <c r="I41" s="60" t="s">
        <v>5</v>
      </c>
      <c r="J41" s="180">
        <v>8</v>
      </c>
      <c r="K41" s="85" t="str">
        <f t="shared" si="3"/>
        <v>safe</v>
      </c>
      <c r="L41" s="30" t="b">
        <f t="shared" si="4"/>
        <v>0</v>
      </c>
      <c r="M41" s="39">
        <f t="shared" si="5"/>
        <v>0.5024000000000001</v>
      </c>
    </row>
    <row r="42" spans="1:13" ht="15" customHeight="1">
      <c r="A42" s="161">
        <v>29</v>
      </c>
      <c r="B42" s="162">
        <v>15</v>
      </c>
      <c r="C42" s="162">
        <v>25</v>
      </c>
      <c r="D42" s="162">
        <v>65</v>
      </c>
      <c r="E42" s="86">
        <f t="shared" si="0"/>
        <v>9.23076923076923</v>
      </c>
      <c r="F42" s="42">
        <f t="shared" si="1"/>
        <v>0.03136519880312945</v>
      </c>
      <c r="G42" s="177">
        <v>2</v>
      </c>
      <c r="H42" s="79">
        <f t="shared" si="2"/>
        <v>4</v>
      </c>
      <c r="I42" s="60" t="s">
        <v>5</v>
      </c>
      <c r="J42" s="180">
        <v>8</v>
      </c>
      <c r="K42" s="85" t="str">
        <f t="shared" si="3"/>
        <v>safe</v>
      </c>
      <c r="L42" s="30" t="b">
        <f t="shared" si="4"/>
        <v>0</v>
      </c>
      <c r="M42" s="39">
        <f t="shared" si="5"/>
        <v>0.5024000000000001</v>
      </c>
    </row>
    <row r="43" spans="1:13" ht="15" customHeight="1">
      <c r="A43" s="161">
        <v>30</v>
      </c>
      <c r="B43" s="162">
        <v>15</v>
      </c>
      <c r="C43" s="162">
        <v>25</v>
      </c>
      <c r="D43" s="162">
        <v>65</v>
      </c>
      <c r="E43" s="86">
        <f t="shared" si="0"/>
        <v>9.23076923076923</v>
      </c>
      <c r="F43" s="42">
        <f t="shared" si="1"/>
        <v>0.03136519880312945</v>
      </c>
      <c r="G43" s="177">
        <v>2</v>
      </c>
      <c r="H43" s="79">
        <f t="shared" si="2"/>
        <v>4</v>
      </c>
      <c r="I43" s="60" t="s">
        <v>5</v>
      </c>
      <c r="J43" s="180">
        <v>8</v>
      </c>
      <c r="K43" s="85" t="str">
        <f t="shared" si="3"/>
        <v>safe</v>
      </c>
      <c r="L43" s="30" t="b">
        <f t="shared" si="4"/>
        <v>0</v>
      </c>
      <c r="M43" s="39">
        <f t="shared" si="5"/>
        <v>0.5024000000000001</v>
      </c>
    </row>
    <row r="44" spans="1:13" ht="15" customHeight="1">
      <c r="A44" s="161">
        <v>31</v>
      </c>
      <c r="B44" s="162">
        <v>15</v>
      </c>
      <c r="C44" s="162">
        <v>25</v>
      </c>
      <c r="D44" s="162">
        <v>65</v>
      </c>
      <c r="E44" s="86">
        <f t="shared" si="0"/>
        <v>9.23076923076923</v>
      </c>
      <c r="F44" s="42">
        <f t="shared" si="1"/>
        <v>0.03136519880312945</v>
      </c>
      <c r="G44" s="177">
        <v>2</v>
      </c>
      <c r="H44" s="79">
        <f t="shared" si="2"/>
        <v>4</v>
      </c>
      <c r="I44" s="60" t="s">
        <v>5</v>
      </c>
      <c r="J44" s="180">
        <v>8</v>
      </c>
      <c r="K44" s="85" t="str">
        <f t="shared" si="3"/>
        <v>safe</v>
      </c>
      <c r="L44" s="30" t="b">
        <f t="shared" si="4"/>
        <v>0</v>
      </c>
      <c r="M44" s="39">
        <f t="shared" si="5"/>
        <v>0.5024000000000001</v>
      </c>
    </row>
    <row r="45" spans="1:13" ht="15" customHeight="1">
      <c r="A45" s="161">
        <v>32</v>
      </c>
      <c r="B45" s="162">
        <v>15</v>
      </c>
      <c r="C45" s="162">
        <v>25</v>
      </c>
      <c r="D45" s="162">
        <v>65</v>
      </c>
      <c r="E45" s="86">
        <f t="shared" si="0"/>
        <v>9.23076923076923</v>
      </c>
      <c r="F45" s="42">
        <f t="shared" si="1"/>
        <v>0.03136519880312945</v>
      </c>
      <c r="G45" s="177">
        <v>2</v>
      </c>
      <c r="H45" s="79">
        <f t="shared" si="2"/>
        <v>4</v>
      </c>
      <c r="I45" s="60" t="s">
        <v>5</v>
      </c>
      <c r="J45" s="180">
        <v>8</v>
      </c>
      <c r="K45" s="85" t="str">
        <f t="shared" si="3"/>
        <v>safe</v>
      </c>
      <c r="L45" s="30" t="b">
        <f t="shared" si="4"/>
        <v>0</v>
      </c>
      <c r="M45" s="39">
        <f t="shared" si="5"/>
        <v>0.5024000000000001</v>
      </c>
    </row>
    <row r="46" spans="1:13" ht="15" customHeight="1" thickBot="1">
      <c r="A46" s="163">
        <v>33</v>
      </c>
      <c r="B46" s="160">
        <v>15</v>
      </c>
      <c r="C46" s="160">
        <v>25</v>
      </c>
      <c r="D46" s="160">
        <v>65</v>
      </c>
      <c r="E46" s="62">
        <f t="shared" si="0"/>
        <v>9.23076923076923</v>
      </c>
      <c r="F46" s="37">
        <f>(E46-0.5*$C$8)*1.15*C46/$C$9</f>
        <v>0.03136519880312945</v>
      </c>
      <c r="G46" s="178">
        <v>2</v>
      </c>
      <c r="H46" s="80">
        <f t="shared" si="2"/>
        <v>4</v>
      </c>
      <c r="I46" s="64" t="s">
        <v>5</v>
      </c>
      <c r="J46" s="181">
        <v>8</v>
      </c>
      <c r="K46" s="87" t="str">
        <f t="shared" si="3"/>
        <v>safe</v>
      </c>
      <c r="L46" s="30" t="b">
        <f t="shared" si="4"/>
        <v>0</v>
      </c>
      <c r="M46" s="39">
        <f>3.14*J46^2/4/100</f>
        <v>0.5024000000000001</v>
      </c>
    </row>
  </sheetData>
  <sheetProtection sheet="1" objects="1" scenarios="1"/>
  <mergeCells count="4">
    <mergeCell ref="K12:K13"/>
    <mergeCell ref="A12:A13"/>
    <mergeCell ref="H12:J13"/>
    <mergeCell ref="C4:K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&amp;R&amp;"Arial,Bold Italic"&amp;9Concrete design using the ultimate limit design method.</oddHeader>
    <oddFooter>&amp;L&amp;"Arial,Bold Italic"&amp;9By: Eng. Mahmoud El-Kateb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0">
      <selection activeCell="B16" sqref="B16"/>
    </sheetView>
  </sheetViews>
  <sheetFormatPr defaultColWidth="9.140625" defaultRowHeight="12.75"/>
  <cols>
    <col min="1" max="1" width="4.57421875" style="30" customWidth="1"/>
    <col min="2" max="2" width="21.140625" style="30" customWidth="1"/>
    <col min="3" max="3" width="7.7109375" style="30" customWidth="1"/>
    <col min="4" max="4" width="7.421875" style="30" customWidth="1"/>
    <col min="5" max="5" width="6.57421875" style="30" customWidth="1"/>
    <col min="6" max="6" width="6.7109375" style="30" customWidth="1"/>
    <col min="7" max="7" width="16.00390625" style="30" customWidth="1"/>
    <col min="8" max="8" width="6.7109375" style="30" customWidth="1"/>
    <col min="9" max="9" width="7.421875" style="38" customWidth="1"/>
    <col min="10" max="13" width="9.140625" style="30" hidden="1" customWidth="1"/>
    <col min="14" max="17" width="9.140625" style="30" customWidth="1"/>
    <col min="18" max="18" width="10.28125" style="30" customWidth="1"/>
    <col min="19" max="16384" width="9.140625" style="30" customWidth="1"/>
  </cols>
  <sheetData>
    <row r="1" ht="22.5">
      <c r="A1" s="34" t="s">
        <v>51</v>
      </c>
    </row>
    <row r="2" ht="12.75" customHeight="1">
      <c r="A2" s="81"/>
    </row>
    <row r="4" spans="2:9" ht="18.75">
      <c r="B4" s="35" t="s">
        <v>33</v>
      </c>
      <c r="C4" s="249"/>
      <c r="D4" s="249"/>
      <c r="E4" s="249"/>
      <c r="F4" s="249"/>
      <c r="G4" s="249"/>
      <c r="H4" s="249"/>
      <c r="I4" s="249"/>
    </row>
    <row r="6" ht="13.5" thickBot="1">
      <c r="Q6" s="51"/>
    </row>
    <row r="7" spans="2:4" ht="24" customHeight="1" thickTop="1">
      <c r="B7" s="52" t="s">
        <v>83</v>
      </c>
      <c r="C7" s="165">
        <v>225</v>
      </c>
      <c r="D7" s="53" t="s">
        <v>8</v>
      </c>
    </row>
    <row r="8" spans="2:4" ht="24" customHeight="1">
      <c r="B8" s="82" t="s">
        <v>54</v>
      </c>
      <c r="C8" s="176">
        <f>0.75*(C7/1.5)^0.5</f>
        <v>9.185586535436919</v>
      </c>
      <c r="D8" s="83" t="s">
        <v>8</v>
      </c>
    </row>
    <row r="9" spans="2:4" ht="24" customHeight="1">
      <c r="B9" s="82" t="s">
        <v>82</v>
      </c>
      <c r="C9" s="182">
        <v>2400</v>
      </c>
      <c r="D9" s="83" t="s">
        <v>8</v>
      </c>
    </row>
    <row r="10" spans="2:4" ht="24" customHeight="1" thickBot="1">
      <c r="B10" s="54" t="s">
        <v>52</v>
      </c>
      <c r="C10" s="183">
        <v>3600</v>
      </c>
      <c r="D10" s="55" t="s">
        <v>8</v>
      </c>
    </row>
    <row r="11" spans="2:4" ht="22.5" customHeight="1" thickTop="1">
      <c r="B11" s="50"/>
      <c r="C11" s="40"/>
      <c r="D11" s="50"/>
    </row>
    <row r="12" spans="2:4" ht="15">
      <c r="B12" s="50"/>
      <c r="C12" s="40"/>
      <c r="D12" s="50"/>
    </row>
    <row r="13" spans="1:7" s="38" customFormat="1" ht="12.75">
      <c r="A13" s="2"/>
      <c r="B13" s="2" t="s">
        <v>53</v>
      </c>
      <c r="C13" s="2"/>
      <c r="D13" s="291" t="s">
        <v>139</v>
      </c>
      <c r="E13" s="292"/>
      <c r="F13" s="2"/>
      <c r="G13" s="2" t="s">
        <v>92</v>
      </c>
    </row>
    <row r="14" spans="1:7" s="38" customFormat="1" ht="15" thickBot="1">
      <c r="A14" s="1" t="s">
        <v>10</v>
      </c>
      <c r="B14" s="1" t="s">
        <v>89</v>
      </c>
      <c r="C14" s="1"/>
      <c r="D14" s="1" t="s">
        <v>3</v>
      </c>
      <c r="E14" s="1" t="s">
        <v>23</v>
      </c>
      <c r="F14" s="1"/>
      <c r="G14" s="1" t="s">
        <v>90</v>
      </c>
    </row>
    <row r="15" spans="1:10" s="38" customFormat="1" ht="14.25">
      <c r="A15" s="184">
        <v>1</v>
      </c>
      <c r="B15" s="170">
        <v>1</v>
      </c>
      <c r="C15" s="170"/>
      <c r="D15" s="170">
        <v>25</v>
      </c>
      <c r="E15" s="170">
        <v>60</v>
      </c>
      <c r="F15" s="170"/>
      <c r="G15" s="170">
        <v>1</v>
      </c>
      <c r="J15" s="89"/>
    </row>
    <row r="16" s="38" customFormat="1" ht="12.75"/>
    <row r="17" s="38" customFormat="1" ht="12.75"/>
    <row r="18" spans="2:11" s="38" customFormat="1" ht="15.75" customHeight="1" thickBot="1">
      <c r="B18" s="20" t="s">
        <v>55</v>
      </c>
      <c r="C18" s="21"/>
      <c r="D18" s="21" t="s">
        <v>165</v>
      </c>
      <c r="E18" s="9"/>
      <c r="F18" s="1"/>
      <c r="G18" s="21" t="s">
        <v>13</v>
      </c>
      <c r="J18" s="38">
        <f>1/(1+(D22/D19)^2)^0.5</f>
        <v>0.09053574604251853</v>
      </c>
      <c r="K18" s="38">
        <f>1/(1+(D19/D22)^2)^0.5</f>
        <v>0.9958932064677037</v>
      </c>
    </row>
    <row r="19" spans="2:11" s="38" customFormat="1" ht="14.25">
      <c r="B19" s="90"/>
      <c r="C19" s="90"/>
      <c r="D19" s="84">
        <f>G15*1000/D15/(E15-5)</f>
        <v>0.7272727272727273</v>
      </c>
      <c r="E19" s="91" t="s">
        <v>180</v>
      </c>
      <c r="G19" s="92" t="str">
        <f>IF(J21,"unsafe","safe")</f>
        <v>safe</v>
      </c>
      <c r="J19" s="38">
        <f>J18*C8</f>
        <v>0.8316239298238945</v>
      </c>
      <c r="K19" s="38">
        <f>K18*C8</f>
        <v>9.147863228062839</v>
      </c>
    </row>
    <row r="20" spans="2:11" s="38" customFormat="1" ht="12.75">
      <c r="B20" s="90"/>
      <c r="C20" s="90"/>
      <c r="D20" s="90"/>
      <c r="G20" s="90"/>
      <c r="J20" s="38">
        <f>3*J19</f>
        <v>2.4948717894716834</v>
      </c>
      <c r="K20" s="38">
        <f>3*K19</f>
        <v>27.443589684188517</v>
      </c>
    </row>
    <row r="21" spans="2:11" s="38" customFormat="1" ht="15.75" customHeight="1" thickBot="1">
      <c r="B21" s="20" t="s">
        <v>56</v>
      </c>
      <c r="C21" s="21"/>
      <c r="D21" s="21" t="s">
        <v>166</v>
      </c>
      <c r="E21" s="9"/>
      <c r="F21" s="1"/>
      <c r="G21" s="21" t="s">
        <v>13</v>
      </c>
      <c r="J21" s="38" t="b">
        <f>D19&gt;J20</f>
        <v>0</v>
      </c>
      <c r="K21" s="38" t="b">
        <f>D22&gt;K20</f>
        <v>0</v>
      </c>
    </row>
    <row r="22" spans="2:7" s="38" customFormat="1" ht="14.25">
      <c r="B22" s="90"/>
      <c r="C22" s="90"/>
      <c r="D22" s="84">
        <f>3*B15*10^5/D15^2/E15</f>
        <v>8</v>
      </c>
      <c r="E22" s="91" t="s">
        <v>180</v>
      </c>
      <c r="G22" s="92" t="str">
        <f>IF(K21,"unsafe","safe")</f>
        <v>safe</v>
      </c>
    </row>
    <row r="23" spans="2:7" s="38" customFormat="1" ht="12.75">
      <c r="B23" s="90"/>
      <c r="C23" s="90"/>
      <c r="D23" s="90"/>
      <c r="G23" s="90"/>
    </row>
    <row r="24" spans="2:7" s="38" customFormat="1" ht="12.75">
      <c r="B24" s="90"/>
      <c r="C24" s="90"/>
      <c r="D24" s="90"/>
      <c r="G24" s="90"/>
    </row>
    <row r="25" spans="2:7" s="38" customFormat="1" ht="13.5" thickBot="1">
      <c r="B25" s="20" t="s">
        <v>59</v>
      </c>
      <c r="C25" s="90"/>
      <c r="D25" s="90"/>
      <c r="G25" s="90"/>
    </row>
    <row r="26" spans="2:7" s="38" customFormat="1" ht="12.75">
      <c r="B26" s="90"/>
      <c r="C26" s="90"/>
      <c r="D26" s="90"/>
      <c r="G26" s="90"/>
    </row>
    <row r="27" spans="2:7" ht="13.5" thickBot="1">
      <c r="B27" s="20" t="s">
        <v>55</v>
      </c>
      <c r="C27" s="21"/>
      <c r="D27" s="21" t="s">
        <v>30</v>
      </c>
      <c r="E27" s="5" t="s">
        <v>5</v>
      </c>
      <c r="F27" s="1"/>
      <c r="G27" s="21" t="s">
        <v>13</v>
      </c>
    </row>
    <row r="28" spans="2:12" ht="12.75">
      <c r="B28" s="90"/>
      <c r="C28" s="90"/>
      <c r="D28" s="93">
        <f>K28*100/2/L28</f>
        <v>0.37132169411294225</v>
      </c>
      <c r="E28" s="185">
        <v>8</v>
      </c>
      <c r="F28" s="38"/>
      <c r="G28" s="92" t="str">
        <f>IF(J28,"use min."," ")</f>
        <v>use min.</v>
      </c>
      <c r="J28" s="30" t="b">
        <f>D19&lt;J19</f>
        <v>1</v>
      </c>
      <c r="K28" s="30">
        <f>(D19-0.5*J19)*D15*1.15/C9</f>
        <v>0.0037310403824468443</v>
      </c>
      <c r="L28" s="30">
        <f>3.14/4*E28^2/100</f>
        <v>0.5024000000000001</v>
      </c>
    </row>
    <row r="29" spans="2:14" ht="12.75">
      <c r="B29" s="90"/>
      <c r="C29" s="90"/>
      <c r="D29" s="90"/>
      <c r="E29" s="94"/>
      <c r="F29" s="38"/>
      <c r="G29" s="90"/>
      <c r="N29" s="95"/>
    </row>
    <row r="30" spans="2:13" ht="13.5" thickBot="1">
      <c r="B30" s="20" t="s">
        <v>56</v>
      </c>
      <c r="C30" s="21"/>
      <c r="D30" s="21" t="s">
        <v>30</v>
      </c>
      <c r="E30" s="5" t="s">
        <v>5</v>
      </c>
      <c r="F30" s="1"/>
      <c r="G30" s="21" t="s">
        <v>13</v>
      </c>
      <c r="K30" s="30">
        <f>0.66+0.33*(E15-5)/(D15-5)</f>
        <v>1.5675000000000001</v>
      </c>
      <c r="L30" s="30" t="b">
        <f>K30&gt;1.5</f>
        <v>1</v>
      </c>
      <c r="M30" s="30">
        <f>IF(L30,1.5,K30)</f>
        <v>1.5</v>
      </c>
    </row>
    <row r="31" spans="2:12" ht="12.75">
      <c r="B31" s="90"/>
      <c r="C31" s="90"/>
      <c r="D31" s="93">
        <f>K31/L31*100</f>
        <v>1.5843058948818871</v>
      </c>
      <c r="E31" s="185">
        <v>10</v>
      </c>
      <c r="F31" s="38"/>
      <c r="G31" s="92" t="str">
        <f>IF(J31,"use min."," ")</f>
        <v>use min.</v>
      </c>
      <c r="J31" s="96" t="b">
        <f>D22&lt;K19</f>
        <v>1</v>
      </c>
      <c r="K31" s="30">
        <f>(D22-0.5*K19)*D15^2*E15*1.15/3/(D15-5)/(E15-5)/C9/M30</f>
        <v>0.012436801274822815</v>
      </c>
      <c r="L31" s="30">
        <f>3.14/4*E31^2/100</f>
        <v>0.785</v>
      </c>
    </row>
    <row r="32" spans="2:7" ht="12.75">
      <c r="B32" s="97"/>
      <c r="C32" s="97"/>
      <c r="D32" s="97"/>
      <c r="E32" s="98"/>
      <c r="G32" s="97"/>
    </row>
    <row r="33" spans="2:5" ht="13.5" thickBot="1">
      <c r="B33" s="20" t="s">
        <v>60</v>
      </c>
      <c r="C33" s="21"/>
      <c r="D33" s="21" t="s">
        <v>30</v>
      </c>
      <c r="E33" s="5" t="s">
        <v>5</v>
      </c>
    </row>
    <row r="34" spans="2:12" ht="12.75">
      <c r="B34" s="90"/>
      <c r="C34" s="90"/>
      <c r="D34" s="99">
        <f>INT(L34+1)</f>
        <v>2</v>
      </c>
      <c r="E34" s="186">
        <v>10</v>
      </c>
      <c r="F34" s="38"/>
      <c r="G34" s="100"/>
      <c r="J34" s="30">
        <f>2*K31*((D15-5)+(E15-5))*C9/C10</f>
        <v>1.2436801274822817</v>
      </c>
      <c r="K34" s="30">
        <f>3.14*E34^2/4/100</f>
        <v>0.785</v>
      </c>
      <c r="L34" s="30">
        <f>J34/K34</f>
        <v>1.5843058948818876</v>
      </c>
    </row>
    <row r="36" spans="4:7" ht="12.75">
      <c r="D36" s="101"/>
      <c r="E36" s="101"/>
      <c r="F36" s="102"/>
      <c r="G36" s="38"/>
    </row>
  </sheetData>
  <sheetProtection sheet="1" objects="1" scenarios="1"/>
  <mergeCells count="2">
    <mergeCell ref="D13:E13"/>
    <mergeCell ref="C4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&amp;R&amp;"Arial,Bold Italic"&amp;9Concrete Design using the ultimate limit design method.</oddHeader>
    <oddFooter>&amp;L&amp;"Arial,Bold Italic"&amp;9By: Eng. Mahmoud El-Kateb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C4" sqref="C4:M4"/>
    </sheetView>
  </sheetViews>
  <sheetFormatPr defaultColWidth="9.140625" defaultRowHeight="12.75"/>
  <cols>
    <col min="1" max="1" width="5.421875" style="30" customWidth="1"/>
    <col min="2" max="2" width="14.8515625" style="30" customWidth="1"/>
    <col min="3" max="3" width="7.7109375" style="30" customWidth="1"/>
    <col min="4" max="6" width="8.28125" style="30" customWidth="1"/>
    <col min="7" max="7" width="6.8515625" style="30" customWidth="1"/>
    <col min="8" max="8" width="3.421875" style="30" customWidth="1"/>
    <col min="9" max="9" width="7.00390625" style="30" customWidth="1"/>
    <col min="10" max="10" width="10.28125" style="30" hidden="1" customWidth="1"/>
    <col min="11" max="12" width="0" style="30" hidden="1" customWidth="1"/>
    <col min="13" max="16384" width="9.140625" style="30" customWidth="1"/>
  </cols>
  <sheetData>
    <row r="1" ht="22.5">
      <c r="A1" s="34" t="s">
        <v>236</v>
      </c>
    </row>
    <row r="4" spans="2:13" ht="18.75">
      <c r="B4" s="35" t="s">
        <v>33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ht="15.75">
      <c r="B5" s="36"/>
    </row>
    <row r="6" ht="13.5" thickBot="1"/>
    <row r="7" spans="2:4" ht="22.5" customHeight="1" thickTop="1">
      <c r="B7" s="52" t="s">
        <v>9</v>
      </c>
      <c r="C7" s="165">
        <v>225</v>
      </c>
      <c r="D7" s="53" t="s">
        <v>8</v>
      </c>
    </row>
    <row r="8" spans="2:4" ht="22.5" customHeight="1" thickBot="1">
      <c r="B8" s="54" t="s">
        <v>44</v>
      </c>
      <c r="C8" s="166">
        <v>3600</v>
      </c>
      <c r="D8" s="55" t="s">
        <v>8</v>
      </c>
    </row>
    <row r="9" spans="2:4" ht="15.75" thickTop="1">
      <c r="B9" s="50"/>
      <c r="C9" s="40"/>
      <c r="D9" s="50"/>
    </row>
    <row r="10" ht="13.5" thickBot="1"/>
    <row r="11" spans="1:9" ht="15" customHeight="1">
      <c r="A11" s="247" t="s">
        <v>88</v>
      </c>
      <c r="B11" s="6" t="s">
        <v>84</v>
      </c>
      <c r="C11" s="16" t="s">
        <v>86</v>
      </c>
      <c r="D11" s="268" t="s">
        <v>140</v>
      </c>
      <c r="E11" s="293"/>
      <c r="F11" s="16" t="s">
        <v>2</v>
      </c>
      <c r="G11" s="281" t="s">
        <v>202</v>
      </c>
      <c r="H11" s="282"/>
      <c r="I11" s="289"/>
    </row>
    <row r="12" spans="1:9" ht="17.25" customHeight="1" thickBot="1">
      <c r="A12" s="248"/>
      <c r="B12" s="8" t="s">
        <v>85</v>
      </c>
      <c r="C12" s="18" t="s">
        <v>87</v>
      </c>
      <c r="D12" s="26" t="s">
        <v>3</v>
      </c>
      <c r="E12" s="22" t="s">
        <v>23</v>
      </c>
      <c r="F12" s="17" t="s">
        <v>184</v>
      </c>
      <c r="G12" s="284"/>
      <c r="H12" s="285"/>
      <c r="I12" s="290"/>
    </row>
    <row r="13" spans="1:12" ht="15" customHeight="1">
      <c r="A13" s="103"/>
      <c r="B13" s="104"/>
      <c r="C13" s="74">
        <v>1</v>
      </c>
      <c r="D13" s="192">
        <v>25</v>
      </c>
      <c r="E13" s="105">
        <f aca="true" t="shared" si="0" ref="E13:E45">INT(0.2*L13)*5+5</f>
        <v>65</v>
      </c>
      <c r="F13" s="56">
        <f>0.01*D13*E13</f>
        <v>16.25</v>
      </c>
      <c r="G13" s="79">
        <f aca="true" t="shared" si="1" ref="G13:G45">INT(F13*400/3.14/I13^2)+1</f>
        <v>9</v>
      </c>
      <c r="H13" s="75" t="s">
        <v>5</v>
      </c>
      <c r="I13" s="196">
        <v>16</v>
      </c>
      <c r="J13" s="30">
        <f>0.51-0.0004*$C$7</f>
        <v>0.42</v>
      </c>
      <c r="K13" s="30">
        <f>$B$14*1000/J13/$C$7</f>
        <v>1587.3015873015875</v>
      </c>
      <c r="L13" s="30">
        <f aca="true" t="shared" si="2" ref="L13:L45">K13/D13</f>
        <v>63.4920634920635</v>
      </c>
    </row>
    <row r="14" spans="1:12" ht="15" customHeight="1">
      <c r="A14" s="187">
        <v>1</v>
      </c>
      <c r="B14" s="188">
        <v>150</v>
      </c>
      <c r="C14" s="74">
        <v>1.3</v>
      </c>
      <c r="D14" s="192">
        <v>25</v>
      </c>
      <c r="E14" s="105">
        <f t="shared" si="0"/>
        <v>60</v>
      </c>
      <c r="F14" s="56">
        <f>0.013*D14*E14</f>
        <v>19.5</v>
      </c>
      <c r="G14" s="79">
        <f t="shared" si="1"/>
        <v>10</v>
      </c>
      <c r="H14" s="76" t="s">
        <v>5</v>
      </c>
      <c r="I14" s="196">
        <v>16</v>
      </c>
      <c r="J14" s="30">
        <f>0.54-0.0004*$C$7</f>
        <v>0.45</v>
      </c>
      <c r="K14" s="30">
        <f>$B$14*1000/J14/$C$7</f>
        <v>1481.4814814814813</v>
      </c>
      <c r="L14" s="30">
        <f t="shared" si="2"/>
        <v>59.25925925925925</v>
      </c>
    </row>
    <row r="15" spans="1:12" ht="15" customHeight="1" thickBot="1">
      <c r="A15" s="187"/>
      <c r="B15" s="188"/>
      <c r="C15" s="106">
        <v>1.6</v>
      </c>
      <c r="D15" s="193">
        <v>25</v>
      </c>
      <c r="E15" s="107">
        <f t="shared" si="0"/>
        <v>55</v>
      </c>
      <c r="F15" s="108">
        <f>0.016*D15*E15</f>
        <v>22</v>
      </c>
      <c r="G15" s="117">
        <f t="shared" si="1"/>
        <v>9</v>
      </c>
      <c r="H15" s="109" t="s">
        <v>5</v>
      </c>
      <c r="I15" s="197">
        <v>18</v>
      </c>
      <c r="J15" s="30">
        <f>0.62-0.0006*$C$7</f>
        <v>0.485</v>
      </c>
      <c r="K15" s="30">
        <f>$B$14*1000/J15/$C$7</f>
        <v>1374.570446735395</v>
      </c>
      <c r="L15" s="30">
        <f t="shared" si="2"/>
        <v>54.982817869415804</v>
      </c>
    </row>
    <row r="16" spans="1:12" ht="15" customHeight="1">
      <c r="A16" s="189"/>
      <c r="B16" s="190"/>
      <c r="C16" s="110">
        <v>1</v>
      </c>
      <c r="D16" s="194">
        <v>25</v>
      </c>
      <c r="E16" s="111">
        <f t="shared" si="0"/>
        <v>85</v>
      </c>
      <c r="F16" s="112">
        <f>0.01*D16*E16</f>
        <v>21.25</v>
      </c>
      <c r="G16" s="118">
        <f t="shared" si="1"/>
        <v>11</v>
      </c>
      <c r="H16" s="75" t="s">
        <v>5</v>
      </c>
      <c r="I16" s="198">
        <v>16</v>
      </c>
      <c r="J16" s="30">
        <f>0.51-0.0004*$C$7</f>
        <v>0.42</v>
      </c>
      <c r="K16" s="30">
        <f>$B$17*1000/J16/$C$7</f>
        <v>2116.4021164021165</v>
      </c>
      <c r="L16" s="30">
        <f t="shared" si="2"/>
        <v>84.65608465608466</v>
      </c>
    </row>
    <row r="17" spans="1:12" ht="15" customHeight="1">
      <c r="A17" s="187">
        <v>2</v>
      </c>
      <c r="B17" s="188">
        <v>200</v>
      </c>
      <c r="C17" s="74">
        <v>1.3</v>
      </c>
      <c r="D17" s="192">
        <v>25</v>
      </c>
      <c r="E17" s="105">
        <f t="shared" si="0"/>
        <v>80</v>
      </c>
      <c r="F17" s="56">
        <f>0.013*D17*E17</f>
        <v>26</v>
      </c>
      <c r="G17" s="79">
        <f t="shared" si="1"/>
        <v>13</v>
      </c>
      <c r="H17" s="76" t="s">
        <v>5</v>
      </c>
      <c r="I17" s="196">
        <v>16</v>
      </c>
      <c r="J17" s="30">
        <f>0.54-0.0004*$C$7</f>
        <v>0.45</v>
      </c>
      <c r="K17" s="30">
        <f>$B$17*1000/J17/$C$7</f>
        <v>1975.3086419753085</v>
      </c>
      <c r="L17" s="30">
        <f t="shared" si="2"/>
        <v>79.01234567901234</v>
      </c>
    </row>
    <row r="18" spans="1:12" ht="15" customHeight="1" thickBot="1">
      <c r="A18" s="191"/>
      <c r="B18" s="164"/>
      <c r="C18" s="114">
        <v>1.6</v>
      </c>
      <c r="D18" s="195">
        <v>25</v>
      </c>
      <c r="E18" s="115">
        <f t="shared" si="0"/>
        <v>75</v>
      </c>
      <c r="F18" s="116">
        <f>0.016*D18*E18</f>
        <v>30</v>
      </c>
      <c r="G18" s="119">
        <f t="shared" si="1"/>
        <v>12</v>
      </c>
      <c r="H18" s="109" t="s">
        <v>5</v>
      </c>
      <c r="I18" s="199">
        <v>18</v>
      </c>
      <c r="J18" s="30">
        <f>0.62-0.0006*$C$7</f>
        <v>0.485</v>
      </c>
      <c r="K18" s="30">
        <f>$B$17*1000/J18/$C$7</f>
        <v>1832.7605956471937</v>
      </c>
      <c r="L18" s="30">
        <f t="shared" si="2"/>
        <v>73.31042382588775</v>
      </c>
    </row>
    <row r="19" spans="1:12" ht="15" customHeight="1">
      <c r="A19" s="187"/>
      <c r="B19" s="188"/>
      <c r="C19" s="74">
        <v>1</v>
      </c>
      <c r="D19" s="192">
        <v>25</v>
      </c>
      <c r="E19" s="105">
        <f t="shared" si="0"/>
        <v>55</v>
      </c>
      <c r="F19" s="56">
        <f>0.01*D19*E19</f>
        <v>13.75</v>
      </c>
      <c r="G19" s="79">
        <f t="shared" si="1"/>
        <v>7</v>
      </c>
      <c r="H19" s="75" t="s">
        <v>5</v>
      </c>
      <c r="I19" s="196">
        <v>16</v>
      </c>
      <c r="J19" s="30">
        <f>0.51-0.0004*$C$7</f>
        <v>0.42</v>
      </c>
      <c r="K19" s="30">
        <f>$B$20*1000/J19/$C$7</f>
        <v>1269.8412698412699</v>
      </c>
      <c r="L19" s="30">
        <f t="shared" si="2"/>
        <v>50.7936507936508</v>
      </c>
    </row>
    <row r="20" spans="1:12" ht="15" customHeight="1">
      <c r="A20" s="187">
        <v>3</v>
      </c>
      <c r="B20" s="188">
        <v>120</v>
      </c>
      <c r="C20" s="74">
        <v>1.3</v>
      </c>
      <c r="D20" s="192">
        <v>25</v>
      </c>
      <c r="E20" s="105">
        <f t="shared" si="0"/>
        <v>50</v>
      </c>
      <c r="F20" s="56">
        <f>0.013*D20*E20</f>
        <v>16.25</v>
      </c>
      <c r="G20" s="79">
        <f t="shared" si="1"/>
        <v>9</v>
      </c>
      <c r="H20" s="76" t="s">
        <v>5</v>
      </c>
      <c r="I20" s="196">
        <v>16</v>
      </c>
      <c r="J20" s="30">
        <f>0.54-0.0004*$C$7</f>
        <v>0.45</v>
      </c>
      <c r="K20" s="30">
        <f>$B$20*1000/J20/$C$7</f>
        <v>1185.1851851851852</v>
      </c>
      <c r="L20" s="30">
        <f t="shared" si="2"/>
        <v>47.40740740740741</v>
      </c>
    </row>
    <row r="21" spans="1:12" ht="15" customHeight="1" thickBot="1">
      <c r="A21" s="191"/>
      <c r="B21" s="164"/>
      <c r="C21" s="114">
        <v>1.6</v>
      </c>
      <c r="D21" s="195">
        <v>25</v>
      </c>
      <c r="E21" s="115">
        <f t="shared" si="0"/>
        <v>45</v>
      </c>
      <c r="F21" s="116">
        <f>0.016*D21*E21</f>
        <v>18</v>
      </c>
      <c r="G21" s="119">
        <f t="shared" si="1"/>
        <v>8</v>
      </c>
      <c r="H21" s="109" t="s">
        <v>5</v>
      </c>
      <c r="I21" s="199">
        <v>18</v>
      </c>
      <c r="J21" s="30">
        <f>0.62-0.0006*$C$7</f>
        <v>0.485</v>
      </c>
      <c r="K21" s="30">
        <f>$B$20*1000/J21/$C$7</f>
        <v>1099.656357388316</v>
      </c>
      <c r="L21" s="30">
        <f t="shared" si="2"/>
        <v>43.986254295532646</v>
      </c>
    </row>
    <row r="22" spans="1:12" ht="15" customHeight="1">
      <c r="A22" s="187"/>
      <c r="B22" s="188"/>
      <c r="C22" s="74">
        <v>1</v>
      </c>
      <c r="D22" s="192">
        <v>25</v>
      </c>
      <c r="E22" s="105">
        <f t="shared" si="0"/>
        <v>65</v>
      </c>
      <c r="F22" s="56">
        <f>0.01*D22*E22</f>
        <v>16.25</v>
      </c>
      <c r="G22" s="79">
        <f t="shared" si="1"/>
        <v>9</v>
      </c>
      <c r="H22" s="75" t="s">
        <v>5</v>
      </c>
      <c r="I22" s="196">
        <v>16</v>
      </c>
      <c r="J22" s="30">
        <f>0.51-0.0004*$C$7</f>
        <v>0.42</v>
      </c>
      <c r="K22" s="30">
        <f>$B$23*1000/J22/$C$7</f>
        <v>1587.3015873015875</v>
      </c>
      <c r="L22" s="30">
        <f t="shared" si="2"/>
        <v>63.4920634920635</v>
      </c>
    </row>
    <row r="23" spans="1:12" ht="15" customHeight="1">
      <c r="A23" s="187">
        <v>4</v>
      </c>
      <c r="B23" s="188">
        <v>150</v>
      </c>
      <c r="C23" s="74">
        <v>1.3</v>
      </c>
      <c r="D23" s="192">
        <v>25</v>
      </c>
      <c r="E23" s="105">
        <f t="shared" si="0"/>
        <v>60</v>
      </c>
      <c r="F23" s="56">
        <f>0.013*D23*E23</f>
        <v>19.5</v>
      </c>
      <c r="G23" s="79">
        <f t="shared" si="1"/>
        <v>10</v>
      </c>
      <c r="H23" s="76" t="s">
        <v>5</v>
      </c>
      <c r="I23" s="196">
        <v>16</v>
      </c>
      <c r="J23" s="30">
        <f>0.54-0.0004*$C$7</f>
        <v>0.45</v>
      </c>
      <c r="K23" s="30">
        <f>$B$23*1000/J23/$C$7</f>
        <v>1481.4814814814813</v>
      </c>
      <c r="L23" s="30">
        <f t="shared" si="2"/>
        <v>59.25925925925925</v>
      </c>
    </row>
    <row r="24" spans="1:12" ht="15" customHeight="1" thickBot="1">
      <c r="A24" s="191"/>
      <c r="B24" s="164"/>
      <c r="C24" s="114">
        <v>1.6</v>
      </c>
      <c r="D24" s="195">
        <v>25</v>
      </c>
      <c r="E24" s="115">
        <f t="shared" si="0"/>
        <v>55</v>
      </c>
      <c r="F24" s="116">
        <f>0.016*D24*E24</f>
        <v>22</v>
      </c>
      <c r="G24" s="119">
        <f t="shared" si="1"/>
        <v>9</v>
      </c>
      <c r="H24" s="109" t="s">
        <v>5</v>
      </c>
      <c r="I24" s="199">
        <v>18</v>
      </c>
      <c r="J24" s="30">
        <f>0.62-0.0006*$C$7</f>
        <v>0.485</v>
      </c>
      <c r="K24" s="30">
        <f>$B$23*1000/J24/$C$7</f>
        <v>1374.570446735395</v>
      </c>
      <c r="L24" s="30">
        <f t="shared" si="2"/>
        <v>54.982817869415804</v>
      </c>
    </row>
    <row r="25" spans="1:12" ht="15" customHeight="1">
      <c r="A25" s="187"/>
      <c r="B25" s="188"/>
      <c r="C25" s="74">
        <v>1</v>
      </c>
      <c r="D25" s="192">
        <v>30</v>
      </c>
      <c r="E25" s="105">
        <f t="shared" si="0"/>
        <v>65</v>
      </c>
      <c r="F25" s="56">
        <f>0.01*D25*E25</f>
        <v>19.5</v>
      </c>
      <c r="G25" s="79">
        <f t="shared" si="1"/>
        <v>10</v>
      </c>
      <c r="H25" s="75" t="s">
        <v>5</v>
      </c>
      <c r="I25" s="196">
        <v>16</v>
      </c>
      <c r="J25" s="30">
        <f>0.51-0.0004*$C$7</f>
        <v>0.42</v>
      </c>
      <c r="K25" s="30">
        <f>$B$26*1000/J25/$C$7</f>
        <v>1904.7619047619048</v>
      </c>
      <c r="L25" s="30">
        <f t="shared" si="2"/>
        <v>63.492063492063494</v>
      </c>
    </row>
    <row r="26" spans="1:12" ht="15" customHeight="1">
      <c r="A26" s="187">
        <v>5</v>
      </c>
      <c r="B26" s="188">
        <v>180</v>
      </c>
      <c r="C26" s="74">
        <v>1.3</v>
      </c>
      <c r="D26" s="192">
        <v>30</v>
      </c>
      <c r="E26" s="105">
        <f t="shared" si="0"/>
        <v>60</v>
      </c>
      <c r="F26" s="56">
        <f>0.013*D26*E26</f>
        <v>23.4</v>
      </c>
      <c r="G26" s="79">
        <f t="shared" si="1"/>
        <v>12</v>
      </c>
      <c r="H26" s="76" t="s">
        <v>5</v>
      </c>
      <c r="I26" s="196">
        <v>16</v>
      </c>
      <c r="J26" s="30">
        <f>0.54-0.0004*$C$7</f>
        <v>0.45</v>
      </c>
      <c r="K26" s="30">
        <f>$B$26*1000/J26/$C$7</f>
        <v>1777.7777777777778</v>
      </c>
      <c r="L26" s="30">
        <f t="shared" si="2"/>
        <v>59.25925925925926</v>
      </c>
    </row>
    <row r="27" spans="1:12" ht="15" customHeight="1" thickBot="1">
      <c r="A27" s="191"/>
      <c r="B27" s="164"/>
      <c r="C27" s="114">
        <v>1.6</v>
      </c>
      <c r="D27" s="195">
        <v>30</v>
      </c>
      <c r="E27" s="115">
        <f t="shared" si="0"/>
        <v>55</v>
      </c>
      <c r="F27" s="116">
        <f>0.016*D27*E27</f>
        <v>26.4</v>
      </c>
      <c r="G27" s="119">
        <f t="shared" si="1"/>
        <v>11</v>
      </c>
      <c r="H27" s="109" t="s">
        <v>5</v>
      </c>
      <c r="I27" s="199">
        <v>18</v>
      </c>
      <c r="J27" s="30">
        <f>0.62-0.0006*$C$7</f>
        <v>0.485</v>
      </c>
      <c r="K27" s="30">
        <f>$B$26*1000/J27/$C$7</f>
        <v>1649.4845360824743</v>
      </c>
      <c r="L27" s="30">
        <f t="shared" si="2"/>
        <v>54.98281786941581</v>
      </c>
    </row>
    <row r="28" spans="1:12" ht="15" customHeight="1">
      <c r="A28" s="187"/>
      <c r="B28" s="188"/>
      <c r="C28" s="74">
        <v>1</v>
      </c>
      <c r="D28" s="192">
        <v>30</v>
      </c>
      <c r="E28" s="105">
        <f t="shared" si="0"/>
        <v>75</v>
      </c>
      <c r="F28" s="56">
        <f>0.01*D28*E28</f>
        <v>22.5</v>
      </c>
      <c r="G28" s="79">
        <f t="shared" si="1"/>
        <v>12</v>
      </c>
      <c r="H28" s="75" t="s">
        <v>5</v>
      </c>
      <c r="I28" s="196">
        <v>16</v>
      </c>
      <c r="J28" s="30">
        <f>0.51-0.0004*$C$7</f>
        <v>0.42</v>
      </c>
      <c r="K28" s="30">
        <f>$B$29*1000/J28/$C$7</f>
        <v>2222.222222222222</v>
      </c>
      <c r="L28" s="30">
        <f t="shared" si="2"/>
        <v>74.07407407407408</v>
      </c>
    </row>
    <row r="29" spans="1:12" ht="15" customHeight="1">
      <c r="A29" s="187">
        <v>6</v>
      </c>
      <c r="B29" s="188">
        <v>210</v>
      </c>
      <c r="C29" s="74">
        <v>1.3</v>
      </c>
      <c r="D29" s="192">
        <v>30</v>
      </c>
      <c r="E29" s="105">
        <f t="shared" si="0"/>
        <v>70</v>
      </c>
      <c r="F29" s="56">
        <f>0.013*D29*E29</f>
        <v>27.299999999999997</v>
      </c>
      <c r="G29" s="79">
        <f t="shared" si="1"/>
        <v>14</v>
      </c>
      <c r="H29" s="76" t="s">
        <v>5</v>
      </c>
      <c r="I29" s="196">
        <v>16</v>
      </c>
      <c r="J29" s="30">
        <f>0.54-0.0004*$C$7</f>
        <v>0.45</v>
      </c>
      <c r="K29" s="30">
        <f>$B$29*1000/J29/$C$7</f>
        <v>2074.074074074074</v>
      </c>
      <c r="L29" s="30">
        <f t="shared" si="2"/>
        <v>69.1358024691358</v>
      </c>
    </row>
    <row r="30" spans="1:12" ht="15" customHeight="1" thickBot="1">
      <c r="A30" s="191"/>
      <c r="B30" s="164"/>
      <c r="C30" s="114">
        <v>1.6</v>
      </c>
      <c r="D30" s="195">
        <v>30</v>
      </c>
      <c r="E30" s="115">
        <f t="shared" si="0"/>
        <v>65</v>
      </c>
      <c r="F30" s="116">
        <f>0.016*D30*E30</f>
        <v>31.2</v>
      </c>
      <c r="G30" s="119">
        <f t="shared" si="1"/>
        <v>13</v>
      </c>
      <c r="H30" s="109" t="s">
        <v>5</v>
      </c>
      <c r="I30" s="199">
        <v>18</v>
      </c>
      <c r="J30" s="30">
        <f>0.62-0.0006*$C$7</f>
        <v>0.485</v>
      </c>
      <c r="K30" s="30">
        <f>$B$29*1000/J30/$C$7</f>
        <v>1924.3986254295532</v>
      </c>
      <c r="L30" s="30">
        <f t="shared" si="2"/>
        <v>64.14662084765177</v>
      </c>
    </row>
    <row r="31" spans="1:12" ht="15" customHeight="1">
      <c r="A31" s="187"/>
      <c r="B31" s="188"/>
      <c r="C31" s="74">
        <v>1</v>
      </c>
      <c r="D31" s="192">
        <v>30</v>
      </c>
      <c r="E31" s="105">
        <f t="shared" si="0"/>
        <v>85</v>
      </c>
      <c r="F31" s="56">
        <f>0.01*D31*E31</f>
        <v>25.5</v>
      </c>
      <c r="G31" s="79">
        <f t="shared" si="1"/>
        <v>13</v>
      </c>
      <c r="H31" s="75" t="s">
        <v>5</v>
      </c>
      <c r="I31" s="196">
        <v>16</v>
      </c>
      <c r="J31" s="30">
        <f>0.51-0.0004*$C$7</f>
        <v>0.42</v>
      </c>
      <c r="K31" s="30">
        <f>$B$32*1000/J31/$C$7</f>
        <v>2539.6825396825398</v>
      </c>
      <c r="L31" s="30">
        <f t="shared" si="2"/>
        <v>84.65608465608466</v>
      </c>
    </row>
    <row r="32" spans="1:12" ht="15" customHeight="1">
      <c r="A32" s="187">
        <v>7</v>
      </c>
      <c r="B32" s="188">
        <v>240</v>
      </c>
      <c r="C32" s="74">
        <v>1.3</v>
      </c>
      <c r="D32" s="192">
        <v>30</v>
      </c>
      <c r="E32" s="105">
        <f t="shared" si="0"/>
        <v>80</v>
      </c>
      <c r="F32" s="56">
        <f>0.013*D32*E32</f>
        <v>31.199999999999996</v>
      </c>
      <c r="G32" s="79">
        <f t="shared" si="1"/>
        <v>16</v>
      </c>
      <c r="H32" s="76" t="s">
        <v>5</v>
      </c>
      <c r="I32" s="196">
        <v>16</v>
      </c>
      <c r="J32" s="30">
        <f>0.54-0.0004*$C$7</f>
        <v>0.45</v>
      </c>
      <c r="K32" s="30">
        <f>$B$32*1000/J32/$C$7</f>
        <v>2370.3703703703704</v>
      </c>
      <c r="L32" s="30">
        <f t="shared" si="2"/>
        <v>79.01234567901234</v>
      </c>
    </row>
    <row r="33" spans="1:12" ht="15" customHeight="1" thickBot="1">
      <c r="A33" s="191"/>
      <c r="B33" s="164"/>
      <c r="C33" s="114">
        <v>1.6</v>
      </c>
      <c r="D33" s="195">
        <v>30</v>
      </c>
      <c r="E33" s="115">
        <f t="shared" si="0"/>
        <v>75</v>
      </c>
      <c r="F33" s="116">
        <f>0.016*D33*E33</f>
        <v>36</v>
      </c>
      <c r="G33" s="119">
        <f t="shared" si="1"/>
        <v>15</v>
      </c>
      <c r="H33" s="109" t="s">
        <v>5</v>
      </c>
      <c r="I33" s="199">
        <v>18</v>
      </c>
      <c r="J33" s="30">
        <f>0.62-0.0006*$C$7</f>
        <v>0.485</v>
      </c>
      <c r="K33" s="30">
        <f>$B$32*1000/J33/$C$7</f>
        <v>2199.312714776632</v>
      </c>
      <c r="L33" s="30">
        <f t="shared" si="2"/>
        <v>73.31042382588774</v>
      </c>
    </row>
    <row r="34" spans="1:12" ht="15" customHeight="1">
      <c r="A34" s="187"/>
      <c r="B34" s="188"/>
      <c r="C34" s="74">
        <v>1</v>
      </c>
      <c r="D34" s="192">
        <v>30</v>
      </c>
      <c r="E34" s="105">
        <f t="shared" si="0"/>
        <v>100</v>
      </c>
      <c r="F34" s="56">
        <f>0.01*D34*E34</f>
        <v>30</v>
      </c>
      <c r="G34" s="79">
        <f t="shared" si="1"/>
        <v>15</v>
      </c>
      <c r="H34" s="75" t="s">
        <v>5</v>
      </c>
      <c r="I34" s="196">
        <v>16</v>
      </c>
      <c r="J34" s="30">
        <f>0.51-0.0004*$C$7</f>
        <v>0.42</v>
      </c>
      <c r="K34" s="30">
        <f>$B$35*1000/J34/$C$7</f>
        <v>2857.142857142857</v>
      </c>
      <c r="L34" s="30">
        <f t="shared" si="2"/>
        <v>95.23809523809523</v>
      </c>
    </row>
    <row r="35" spans="1:12" ht="15" customHeight="1">
      <c r="A35" s="187">
        <v>8</v>
      </c>
      <c r="B35" s="188">
        <v>270</v>
      </c>
      <c r="C35" s="74">
        <v>1.3</v>
      </c>
      <c r="D35" s="192">
        <v>30</v>
      </c>
      <c r="E35" s="105">
        <f t="shared" si="0"/>
        <v>90</v>
      </c>
      <c r="F35" s="56">
        <f>0.013*D35*E35</f>
        <v>35.099999999999994</v>
      </c>
      <c r="G35" s="79">
        <f t="shared" si="1"/>
        <v>18</v>
      </c>
      <c r="H35" s="76" t="s">
        <v>5</v>
      </c>
      <c r="I35" s="196">
        <v>16</v>
      </c>
      <c r="J35" s="30">
        <f>0.54-0.0004*$C$7</f>
        <v>0.45</v>
      </c>
      <c r="K35" s="30">
        <f>$B$35*1000/J35/$C$7</f>
        <v>2666.6666666666665</v>
      </c>
      <c r="L35" s="30">
        <f t="shared" si="2"/>
        <v>88.88888888888889</v>
      </c>
    </row>
    <row r="36" spans="1:12" ht="15" customHeight="1" thickBot="1">
      <c r="A36" s="191"/>
      <c r="B36" s="164"/>
      <c r="C36" s="114">
        <v>1.6</v>
      </c>
      <c r="D36" s="195">
        <v>30</v>
      </c>
      <c r="E36" s="115">
        <f t="shared" si="0"/>
        <v>85</v>
      </c>
      <c r="F36" s="116">
        <f>0.016*D36*E36</f>
        <v>40.8</v>
      </c>
      <c r="G36" s="119">
        <f t="shared" si="1"/>
        <v>17</v>
      </c>
      <c r="H36" s="109" t="s">
        <v>5</v>
      </c>
      <c r="I36" s="199">
        <v>18</v>
      </c>
      <c r="J36" s="30">
        <f>0.62-0.0006*$C$7</f>
        <v>0.485</v>
      </c>
      <c r="K36" s="30">
        <f>$B$35*1000/J36/$C$7</f>
        <v>2474.226804123711</v>
      </c>
      <c r="L36" s="30">
        <f t="shared" si="2"/>
        <v>82.4742268041237</v>
      </c>
    </row>
    <row r="37" spans="1:12" ht="15" customHeight="1">
      <c r="A37" s="187"/>
      <c r="B37" s="188"/>
      <c r="C37" s="74">
        <v>1</v>
      </c>
      <c r="D37" s="192">
        <v>30</v>
      </c>
      <c r="E37" s="105">
        <f t="shared" si="0"/>
        <v>110</v>
      </c>
      <c r="F37" s="56">
        <f>0.01*D37*E37</f>
        <v>33</v>
      </c>
      <c r="G37" s="79">
        <f t="shared" si="1"/>
        <v>17</v>
      </c>
      <c r="H37" s="75" t="s">
        <v>5</v>
      </c>
      <c r="I37" s="196">
        <v>16</v>
      </c>
      <c r="J37" s="30">
        <f>0.51-0.0004*$C$7</f>
        <v>0.42</v>
      </c>
      <c r="K37" s="30">
        <f>$B$38*1000/J37/$C$7</f>
        <v>3174.603174603175</v>
      </c>
      <c r="L37" s="30">
        <f t="shared" si="2"/>
        <v>105.82010582010584</v>
      </c>
    </row>
    <row r="38" spans="1:12" ht="15" customHeight="1">
      <c r="A38" s="187">
        <v>9</v>
      </c>
      <c r="B38" s="188">
        <v>300</v>
      </c>
      <c r="C38" s="74">
        <v>1.3</v>
      </c>
      <c r="D38" s="192">
        <v>30</v>
      </c>
      <c r="E38" s="105">
        <f t="shared" si="0"/>
        <v>100</v>
      </c>
      <c r="F38" s="56">
        <f>0.013*D38*E38</f>
        <v>38.99999999999999</v>
      </c>
      <c r="G38" s="79">
        <f t="shared" si="1"/>
        <v>20</v>
      </c>
      <c r="H38" s="76" t="s">
        <v>5</v>
      </c>
      <c r="I38" s="196">
        <v>16</v>
      </c>
      <c r="J38" s="30">
        <f>0.54-0.0004*$C$7</f>
        <v>0.45</v>
      </c>
      <c r="K38" s="30">
        <f>$B$38*1000/J38/$C$7</f>
        <v>2962.9629629629626</v>
      </c>
      <c r="L38" s="30">
        <f t="shared" si="2"/>
        <v>98.76543209876542</v>
      </c>
    </row>
    <row r="39" spans="1:12" ht="15" customHeight="1" thickBot="1">
      <c r="A39" s="191"/>
      <c r="B39" s="164"/>
      <c r="C39" s="114">
        <v>1.6</v>
      </c>
      <c r="D39" s="195">
        <v>30</v>
      </c>
      <c r="E39" s="115">
        <f t="shared" si="0"/>
        <v>95</v>
      </c>
      <c r="F39" s="116">
        <f>0.016*D39*E39</f>
        <v>45.6</v>
      </c>
      <c r="G39" s="119">
        <f t="shared" si="1"/>
        <v>18</v>
      </c>
      <c r="H39" s="109" t="s">
        <v>5</v>
      </c>
      <c r="I39" s="199">
        <v>18</v>
      </c>
      <c r="J39" s="30">
        <f>0.62-0.0006*$C$7</f>
        <v>0.485</v>
      </c>
      <c r="K39" s="30">
        <f>$B$38*1000/J39/$C$7</f>
        <v>2749.14089347079</v>
      </c>
      <c r="L39" s="30">
        <f t="shared" si="2"/>
        <v>91.63802978235967</v>
      </c>
    </row>
    <row r="40" spans="1:12" ht="15" customHeight="1">
      <c r="A40" s="187"/>
      <c r="B40" s="188"/>
      <c r="C40" s="74">
        <v>1</v>
      </c>
      <c r="D40" s="192">
        <v>30</v>
      </c>
      <c r="E40" s="105">
        <f t="shared" si="0"/>
        <v>120</v>
      </c>
      <c r="F40" s="56">
        <f>0.01*D40*E40</f>
        <v>36</v>
      </c>
      <c r="G40" s="79">
        <f t="shared" si="1"/>
        <v>18</v>
      </c>
      <c r="H40" s="75" t="s">
        <v>5</v>
      </c>
      <c r="I40" s="196">
        <v>16</v>
      </c>
      <c r="J40" s="30">
        <f>0.51-0.0004*$C$7</f>
        <v>0.42</v>
      </c>
      <c r="K40" s="30">
        <f>$B$41*1000/J40/$C$7</f>
        <v>3492.0634920634925</v>
      </c>
      <c r="L40" s="30">
        <f t="shared" si="2"/>
        <v>116.40211640211642</v>
      </c>
    </row>
    <row r="41" spans="1:12" ht="15" customHeight="1">
      <c r="A41" s="187">
        <v>10</v>
      </c>
      <c r="B41" s="188">
        <v>330</v>
      </c>
      <c r="C41" s="74">
        <v>1.3</v>
      </c>
      <c r="D41" s="192">
        <v>30</v>
      </c>
      <c r="E41" s="105">
        <f t="shared" si="0"/>
        <v>110</v>
      </c>
      <c r="F41" s="56">
        <f>0.013*D41*E41</f>
        <v>42.9</v>
      </c>
      <c r="G41" s="79">
        <f t="shared" si="1"/>
        <v>22</v>
      </c>
      <c r="H41" s="76" t="s">
        <v>5</v>
      </c>
      <c r="I41" s="196">
        <v>16</v>
      </c>
      <c r="J41" s="30">
        <f>0.54-0.0004*$C$7</f>
        <v>0.45</v>
      </c>
      <c r="K41" s="30">
        <f>$B$41*1000/J41/$C$7</f>
        <v>3259.2592592592596</v>
      </c>
      <c r="L41" s="30">
        <f t="shared" si="2"/>
        <v>108.64197530864199</v>
      </c>
    </row>
    <row r="42" spans="1:12" ht="15" customHeight="1" thickBot="1">
      <c r="A42" s="191"/>
      <c r="B42" s="164"/>
      <c r="C42" s="114">
        <v>1.6</v>
      </c>
      <c r="D42" s="195">
        <v>30</v>
      </c>
      <c r="E42" s="115">
        <f t="shared" si="0"/>
        <v>105</v>
      </c>
      <c r="F42" s="116">
        <f>0.016*D42*E42</f>
        <v>50.4</v>
      </c>
      <c r="G42" s="119">
        <f t="shared" si="1"/>
        <v>20</v>
      </c>
      <c r="H42" s="109" t="s">
        <v>5</v>
      </c>
      <c r="I42" s="199">
        <v>18</v>
      </c>
      <c r="J42" s="30">
        <f>0.62-0.0006*$C$7</f>
        <v>0.485</v>
      </c>
      <c r="K42" s="30">
        <f>$B$41*1000/J42/$C$7</f>
        <v>3024.0549828178696</v>
      </c>
      <c r="L42" s="30">
        <f t="shared" si="2"/>
        <v>100.80183276059566</v>
      </c>
    </row>
    <row r="43" spans="1:12" ht="15" customHeight="1">
      <c r="A43" s="187"/>
      <c r="B43" s="188"/>
      <c r="C43" s="74">
        <v>1</v>
      </c>
      <c r="D43" s="192">
        <v>30</v>
      </c>
      <c r="E43" s="105">
        <f t="shared" si="0"/>
        <v>130</v>
      </c>
      <c r="F43" s="56">
        <f>0.01*D43*E43</f>
        <v>39</v>
      </c>
      <c r="G43" s="79">
        <f t="shared" si="1"/>
        <v>20</v>
      </c>
      <c r="H43" s="75" t="s">
        <v>5</v>
      </c>
      <c r="I43" s="196">
        <v>16</v>
      </c>
      <c r="J43" s="30">
        <f>0.51-0.0004*$C$7</f>
        <v>0.42</v>
      </c>
      <c r="K43" s="30">
        <f>$B$44*1000/J43/$C$7</f>
        <v>3809.5238095238096</v>
      </c>
      <c r="L43" s="30">
        <f t="shared" si="2"/>
        <v>126.98412698412699</v>
      </c>
    </row>
    <row r="44" spans="1:12" ht="15" customHeight="1">
      <c r="A44" s="187">
        <v>11</v>
      </c>
      <c r="B44" s="188">
        <v>360</v>
      </c>
      <c r="C44" s="74">
        <v>1.3</v>
      </c>
      <c r="D44" s="192">
        <v>30</v>
      </c>
      <c r="E44" s="105">
        <f t="shared" si="0"/>
        <v>120</v>
      </c>
      <c r="F44" s="56">
        <f>0.013*D44*E44</f>
        <v>46.8</v>
      </c>
      <c r="G44" s="79">
        <f t="shared" si="1"/>
        <v>24</v>
      </c>
      <c r="H44" s="76" t="s">
        <v>5</v>
      </c>
      <c r="I44" s="196">
        <v>16</v>
      </c>
      <c r="J44" s="30">
        <f>0.54-0.0004*$C$7</f>
        <v>0.45</v>
      </c>
      <c r="K44" s="30">
        <f>$B$44*1000/J44/$C$7</f>
        <v>3555.5555555555557</v>
      </c>
      <c r="L44" s="30">
        <f t="shared" si="2"/>
        <v>118.51851851851852</v>
      </c>
    </row>
    <row r="45" spans="1:12" ht="15" customHeight="1" thickBot="1">
      <c r="A45" s="113"/>
      <c r="B45" s="46"/>
      <c r="C45" s="114">
        <v>1.6</v>
      </c>
      <c r="D45" s="195">
        <v>30</v>
      </c>
      <c r="E45" s="115">
        <f t="shared" si="0"/>
        <v>110</v>
      </c>
      <c r="F45" s="116">
        <f>0.016*D45*E45</f>
        <v>52.8</v>
      </c>
      <c r="G45" s="119">
        <f t="shared" si="1"/>
        <v>21</v>
      </c>
      <c r="H45" s="109" t="s">
        <v>5</v>
      </c>
      <c r="I45" s="199">
        <v>18</v>
      </c>
      <c r="J45" s="30">
        <f>0.62-0.0006*$C$7</f>
        <v>0.485</v>
      </c>
      <c r="K45" s="30">
        <f>$B$44*1000/J45/$C$7</f>
        <v>3298.9690721649486</v>
      </c>
      <c r="L45" s="30">
        <f t="shared" si="2"/>
        <v>109.96563573883162</v>
      </c>
    </row>
  </sheetData>
  <sheetProtection sheet="1" objects="1" scenarios="1"/>
  <mergeCells count="4">
    <mergeCell ref="C4:M4"/>
    <mergeCell ref="D11:E11"/>
    <mergeCell ref="A11:A12"/>
    <mergeCell ref="G11:I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&amp;R&amp;"Arial,Bold Italic"&amp;9Concrete design using the ultimate limit design method.</oddHeader>
    <oddFooter>&amp;L&amp;"Arial,Bold Italic"&amp;9By: Eng. Mahmoud El-Kateb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هندسة عين شمس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م/ محمود محمد الكاتب</dc:creator>
  <cp:keywords/>
  <dc:description/>
  <cp:lastModifiedBy>Manoj</cp:lastModifiedBy>
  <cp:lastPrinted>2002-01-03T11:03:53Z</cp:lastPrinted>
  <dcterms:created xsi:type="dcterms:W3CDTF">2000-01-05T22:48:31Z</dcterms:created>
  <dcterms:modified xsi:type="dcterms:W3CDTF">2016-10-24T11:48:57Z</dcterms:modified>
  <cp:category/>
  <cp:version/>
  <cp:contentType/>
  <cp:contentStatus/>
</cp:coreProperties>
</file>